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'Sheet1'!$A$3:$N$101</definedName>
  </definedNames>
  <calcPr fullCalcOnLoad="1"/>
</workbook>
</file>

<file path=xl/sharedStrings.xml><?xml version="1.0" encoding="utf-8"?>
<sst xmlns="http://schemas.openxmlformats.org/spreadsheetml/2006/main" count="338" uniqueCount="214">
  <si>
    <t>海南省公路管理局2022年公开招聘事业编制人员拟聘用人员名单</t>
  </si>
  <si>
    <t>单位名称（盖章） 海南省公路管理局                                                                               制表日期：2023年 8 月 22 日</t>
  </si>
  <si>
    <t>序号</t>
  </si>
  <si>
    <t>姓名</t>
  </si>
  <si>
    <t>性别</t>
  </si>
  <si>
    <t>出生年月</t>
  </si>
  <si>
    <t>民族</t>
  </si>
  <si>
    <t>政治面貌</t>
  </si>
  <si>
    <t>毕业院校</t>
  </si>
  <si>
    <t>学历学位</t>
  </si>
  <si>
    <t>所学专业</t>
  </si>
  <si>
    <t>准考证号</t>
  </si>
  <si>
    <t>公民身份号码</t>
  </si>
  <si>
    <t>报考岗位</t>
  </si>
  <si>
    <t>考察结果</t>
  </si>
  <si>
    <t>备注</t>
  </si>
  <si>
    <t>460026********0948</t>
  </si>
  <si>
    <t>10101—海南省公路管理局-党建党务岗（九级管理）</t>
  </si>
  <si>
    <t>合格</t>
  </si>
  <si>
    <t>大学本科学历管理学学士学位</t>
  </si>
  <si>
    <t>460006********2726</t>
  </si>
  <si>
    <t>10102—海南省公路管理局-财务会计岗（十二级专技）</t>
  </si>
  <si>
    <t>610302********3547</t>
  </si>
  <si>
    <t>大学本科学历法学学士学位</t>
  </si>
  <si>
    <t>371421********0042</t>
  </si>
  <si>
    <t>10103—海南省公路管理局-法律法务岗（九级管理）</t>
  </si>
  <si>
    <t>大学本科学历汉语言文学学士学位</t>
  </si>
  <si>
    <t>460027********4726</t>
  </si>
  <si>
    <t>10201—高速公路养护管理中心-文秘岗（九级管理）</t>
  </si>
  <si>
    <t>431024********0017</t>
  </si>
  <si>
    <t>10301—应急处置中心-法律法务岗（九级管理）</t>
  </si>
  <si>
    <t>大学本科学历理学学士学位</t>
  </si>
  <si>
    <t>460028********041X</t>
  </si>
  <si>
    <t>10302—应急处置中心-统计及信息化岗（九级管理）</t>
  </si>
  <si>
    <t>460027********2948</t>
  </si>
  <si>
    <t>10401—海口公路局-人力资源管理岗（九级管理）</t>
  </si>
  <si>
    <t>460004********0220</t>
  </si>
  <si>
    <t>大学本科学历工学学士学位</t>
  </si>
  <si>
    <t>460003********0028</t>
  </si>
  <si>
    <t>10402—海口公路局-财务会计岗（九级管理）</t>
  </si>
  <si>
    <t>460102********0911</t>
  </si>
  <si>
    <t>10403—海口公路局-统计及信息化岗（九级管理）</t>
  </si>
  <si>
    <t>460200********2492</t>
  </si>
  <si>
    <t>360781********004X</t>
  </si>
  <si>
    <t>10404—海口公路局-法律法务岗（九级管理）</t>
  </si>
  <si>
    <t>460033********3906</t>
  </si>
  <si>
    <t>460102********0920</t>
  </si>
  <si>
    <t>10405—海口公路局-党建党务岗（九级管理）</t>
  </si>
  <si>
    <t>460103********1814</t>
  </si>
  <si>
    <t>10406—海口公路局-安全生产管理岗（九级管理）</t>
  </si>
  <si>
    <t>460102********1816</t>
  </si>
  <si>
    <t>10407—海口公路局-路桥技术岗（十二级专技）</t>
  </si>
  <si>
    <t>460004********0617</t>
  </si>
  <si>
    <t>10408—海口公路局-筑路机械与材料管理岗（九级管理）</t>
  </si>
  <si>
    <t>460200********4701</t>
  </si>
  <si>
    <t>10409—海口公路局-园林技术岗（十二级专技）</t>
  </si>
  <si>
    <t>460028********0021</t>
  </si>
  <si>
    <t>10501—儋州公路局-文秘岗（九级管理）</t>
  </si>
  <si>
    <t>460003********4018</t>
  </si>
  <si>
    <t>513030********0364</t>
  </si>
  <si>
    <t>10502—儋州公路局-党建党务岗（九级管理）</t>
  </si>
  <si>
    <t>460003********3028</t>
  </si>
  <si>
    <t>10503—儋州公路局-财务会计岗（九级管理）</t>
  </si>
  <si>
    <t>460003********765X</t>
  </si>
  <si>
    <t>10505—儋州公路局-路桥技术岗（九级管理）</t>
  </si>
  <si>
    <t>460200********5710</t>
  </si>
  <si>
    <t>460003********2218</t>
  </si>
  <si>
    <t>10506—儋州公路局-法律法务岗（九级管理）</t>
  </si>
  <si>
    <t>460003********0411</t>
  </si>
  <si>
    <t>10507—儋州公路局-安全生产管理岗（九级管理）</t>
  </si>
  <si>
    <t>460004********5213</t>
  </si>
  <si>
    <t>10508—儋州公路局-筑路机械与材料管理岗（九级管理）</t>
  </si>
  <si>
    <t>460022********1024</t>
  </si>
  <si>
    <t>10601—文昌公路分局-园林技术岗（十二级专技）</t>
  </si>
  <si>
    <t>460006********3187</t>
  </si>
  <si>
    <t>10603—文昌公路分局-财务会计岗（九级管理）</t>
  </si>
  <si>
    <t>460033********4628</t>
  </si>
  <si>
    <t>460004********062X</t>
  </si>
  <si>
    <t>10604—文昌公路分局-法律法务岗（九级管理）</t>
  </si>
  <si>
    <t>460027********4721</t>
  </si>
  <si>
    <t>460005********0527</t>
  </si>
  <si>
    <t>10605—文昌公路分局-统计及信息化岗（十二级专技）</t>
  </si>
  <si>
    <t>460022********1237</t>
  </si>
  <si>
    <t>10608—文昌公路分局-路桥技术岗（十二级专技）</t>
  </si>
  <si>
    <t>469003********2710</t>
  </si>
  <si>
    <t>469023********0010</t>
  </si>
  <si>
    <t>10609—文昌公路分局-筑路机械与材料管理岗（九级管理）</t>
  </si>
  <si>
    <t>412822********3093</t>
  </si>
  <si>
    <t>10703—定安公路分局-园林技术岗（十二级专技）</t>
  </si>
  <si>
    <t>2000.10</t>
  </si>
  <si>
    <t>460025********4524</t>
  </si>
  <si>
    <t>10704—定安公路分局-统计及信息化岗（九级管理）</t>
  </si>
  <si>
    <t>460006********4811</t>
  </si>
  <si>
    <t>10705—定安公路分局-路桥技术岗（十二级专技）</t>
  </si>
  <si>
    <t>460103********0041</t>
  </si>
  <si>
    <t>10706—定安公路分局-财务会计岗（十二级专技）</t>
  </si>
  <si>
    <t>460003********3821</t>
  </si>
  <si>
    <t>460002********0368</t>
  </si>
  <si>
    <t>10801—琼海公路分局-财务会计岗（九级管理）</t>
  </si>
  <si>
    <t>460002********2218</t>
  </si>
  <si>
    <t>10802—琼海公路分局-统计及信息化岗（九级管理）</t>
  </si>
  <si>
    <t>469028********3025</t>
  </si>
  <si>
    <t>460006********6212</t>
  </si>
  <si>
    <t>10804—琼海公路分局-法律法务岗（十级管理）</t>
  </si>
  <si>
    <t>460102********2119</t>
  </si>
  <si>
    <t>10805—琼海公路分局-园林技术岗（九级管理）</t>
  </si>
  <si>
    <t>460036********005X</t>
  </si>
  <si>
    <t>10806—琼海公路分局-文秘岗（十级管理）</t>
  </si>
  <si>
    <t>460006********0419</t>
  </si>
  <si>
    <t>10901—万宁公路分局-路桥技术岗（九级管理）</t>
  </si>
  <si>
    <t>130127********1831</t>
  </si>
  <si>
    <t>10902—万宁公路分局-筑路机械与材料管理岗（九级管理）</t>
  </si>
  <si>
    <t>460006********482X</t>
  </si>
  <si>
    <t>10903—万宁公路分局-法律法务岗（九级管理）</t>
  </si>
  <si>
    <t>460104********1526</t>
  </si>
  <si>
    <t>10904—万宁公路分局-统计及信息化岗（九级管理）</t>
  </si>
  <si>
    <t>469024********0049</t>
  </si>
  <si>
    <t>10905—万宁公路分局-财务会计岗（九级管理）</t>
  </si>
  <si>
    <t>460034********5816</t>
  </si>
  <si>
    <t>10906—万宁公路分局-安全生产管理岗（九级管理）</t>
  </si>
  <si>
    <t>黎族</t>
  </si>
  <si>
    <t>460006********3737</t>
  </si>
  <si>
    <t>11001—陵水公路分局-统计及信息化岗（九级管理）</t>
  </si>
  <si>
    <t>460022********0010</t>
  </si>
  <si>
    <t>11002—陵水公路分局-文秘岗（九级管理）</t>
  </si>
  <si>
    <t>460105********7126</t>
  </si>
  <si>
    <t>469024********0829</t>
  </si>
  <si>
    <t>11101—屯昌公路分局-法律法务岗（九级管理）</t>
  </si>
  <si>
    <t>532527********2921</t>
  </si>
  <si>
    <t>11104—屯昌公路分局-统计及信息化岗（九级管理）</t>
  </si>
  <si>
    <t>460026********0019</t>
  </si>
  <si>
    <t>11105—屯昌公路分局-路桥技术岗（九级管理）</t>
  </si>
  <si>
    <t>460005********1038</t>
  </si>
  <si>
    <t>11201—琼中公路分局-路桥技术岗（九级管理）</t>
  </si>
  <si>
    <t>460034********0019</t>
  </si>
  <si>
    <t>11202—琼中公路分局-筑路机械与材料管理岗（九级管理）</t>
  </si>
  <si>
    <t>460025********001X</t>
  </si>
  <si>
    <t>11203—琼中公路分局-财务会计岗（九级管理）</t>
  </si>
  <si>
    <t>460003********8615</t>
  </si>
  <si>
    <t>11204—琼中公路分局-统计及信息化岗（九级管理）</t>
  </si>
  <si>
    <t>460027********4424</t>
  </si>
  <si>
    <t>11205—琼中公路分局-法律法务岗（九级管理）</t>
  </si>
  <si>
    <t>460027********0047</t>
  </si>
  <si>
    <t>11301—五指山公路分局-人力资源管理岗（九级管理）</t>
  </si>
  <si>
    <t>460027********2997</t>
  </si>
  <si>
    <t>11302—五指山公路分局-法律法务岗（九级管理）</t>
  </si>
  <si>
    <t>520121********2847</t>
  </si>
  <si>
    <t>11401—保亭公路分局-园林技术岗（九级管理）</t>
  </si>
  <si>
    <t>460034********1230</t>
  </si>
  <si>
    <t>11402—保亭公路分局-财务会计岗（九级管理）</t>
  </si>
  <si>
    <t>460027********231X</t>
  </si>
  <si>
    <t>11403—保亭公路分局-统计及信息化岗（十级管理）</t>
  </si>
  <si>
    <t>410224********0710</t>
  </si>
  <si>
    <t>11404—保亭公路分局-路桥技术岗（九级管理）</t>
  </si>
  <si>
    <t>460102********3325</t>
  </si>
  <si>
    <t>11502—澄迈公路分局-财务会计岗（十二级专技）</t>
  </si>
  <si>
    <t>460004********042X</t>
  </si>
  <si>
    <t>11503—澄迈公路分局-筑路机械与材料管理岗（九级管理）</t>
  </si>
  <si>
    <t>1999.10</t>
  </si>
  <si>
    <t>460003********2820</t>
  </si>
  <si>
    <t>11504—澄迈公路分局-园林技术岗（九级管理）</t>
  </si>
  <si>
    <t>1993.10</t>
  </si>
  <si>
    <t>460027********4114</t>
  </si>
  <si>
    <t>11505—澄迈公路分局-统计及信息化岗（九级管理）</t>
  </si>
  <si>
    <t>469024********1218</t>
  </si>
  <si>
    <t>11507—澄迈公路分局-人力资源管理岗（九级管理）</t>
  </si>
  <si>
    <t>460028********6055</t>
  </si>
  <si>
    <t>11601—临高公路分局-路桥技术岗（十二级专技）</t>
  </si>
  <si>
    <t>460007********7634</t>
  </si>
  <si>
    <t>11602—临高公路分局-筑路机械与材料管理岗（十二级专技）</t>
  </si>
  <si>
    <t>460005********5186</t>
  </si>
  <si>
    <t>11603—临高公路分局-文秘岗（九级管理）</t>
  </si>
  <si>
    <t>460007********0432</t>
  </si>
  <si>
    <t>11701—白沙公路分局-路桥技术岗（十二级专技）</t>
  </si>
  <si>
    <t>460003********182X</t>
  </si>
  <si>
    <t>11702—白沙公路分局-法律法务岗（九级管理）</t>
  </si>
  <si>
    <t>460006********0012</t>
  </si>
  <si>
    <t>11703—白沙公路分局-财务会计岗（九级管理）</t>
  </si>
  <si>
    <t>460003********3231</t>
  </si>
  <si>
    <t>11704—白沙公路分局-园林技术岗（十二级专技）</t>
  </si>
  <si>
    <t>1995.10</t>
  </si>
  <si>
    <t>460028********0412</t>
  </si>
  <si>
    <t>11705—白沙公路分局-统计及信息化岗（十二级专技）</t>
  </si>
  <si>
    <t>1997.10</t>
  </si>
  <si>
    <t>460003********2639</t>
  </si>
  <si>
    <t>11706—白沙公路分局-安全生产管理岗（九级管理）</t>
  </si>
  <si>
    <t>1996.10</t>
  </si>
  <si>
    <t>469027********3216</t>
  </si>
  <si>
    <t>11801—昌江公路分局-路桥技术岗（十二级专技）</t>
  </si>
  <si>
    <t>460003********6410</t>
  </si>
  <si>
    <t>11802—昌江公路分局-安全生产管理岗（九级管理）</t>
  </si>
  <si>
    <t>460003********5624</t>
  </si>
  <si>
    <t>11803—昌江公路分局-党建党务岗（九级管理）</t>
  </si>
  <si>
    <t>460003********3417</t>
  </si>
  <si>
    <t>11804—昌江公路分局-人力资源管理岗（九级管理）</t>
  </si>
  <si>
    <t>460007********0851</t>
  </si>
  <si>
    <t>11805—昌江公路分局-统计及信息化岗（九级管理）</t>
  </si>
  <si>
    <t>460033********3242</t>
  </si>
  <si>
    <t>11902—东方公路分局-安全生产管理岗（九级管理）</t>
  </si>
  <si>
    <t>460102********3021</t>
  </si>
  <si>
    <t>11903—东方公路分局-法律法务岗（九级管理）</t>
  </si>
  <si>
    <t>372325********0021</t>
  </si>
  <si>
    <t>460102********1823</t>
  </si>
  <si>
    <t>11904—东方公路分局-人力资源管理岗（九级管理）</t>
  </si>
  <si>
    <t>460007********5840</t>
  </si>
  <si>
    <t>11905—东方公路分局-财务会计岗（九级管理）</t>
  </si>
  <si>
    <t>460028********002X</t>
  </si>
  <si>
    <t>12001—乐东公路分局-文秘岗（十级管理）</t>
  </si>
  <si>
    <t>邢孔浩</t>
  </si>
  <si>
    <t>海南大学</t>
  </si>
  <si>
    <t>460033********3214</t>
  </si>
  <si>
    <t>12002—乐东公路分局-法律法务岗（十级管理）</t>
  </si>
  <si>
    <t>460200********0512</t>
  </si>
  <si>
    <t>12003—乐东公路分局-统计及信息化岗（十级管理）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</si>
</sst>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177" fontId="2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25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="80" zoomScaleSheetLayoutView="80" workbookViewId="0" topLeftCell="A1">
      <selection activeCell="J11" sqref="J11"/>
    </sheetView>
  </sheetViews>
  <sheetFormatPr defaultColWidth="9.00390625" defaultRowHeight="14.25"/>
  <cols>
    <col min="1" max="1" width="4.875" style="0" customWidth="1"/>
    <col min="2" max="2" width="7.375" style="2" customWidth="1"/>
    <col min="3" max="3" width="4.375" style="2" customWidth="1"/>
    <col min="4" max="4" width="10.125" style="0" customWidth="1"/>
    <col min="5" max="5" width="5.625" style="0" customWidth="1"/>
    <col min="6" max="6" width="9.625" style="0" customWidth="1"/>
    <col min="7" max="7" width="16.125" style="0" customWidth="1"/>
    <col min="8" max="8" width="12.375" style="3" customWidth="1"/>
    <col min="9" max="9" width="14.875" style="3" customWidth="1"/>
    <col min="10" max="10" width="14.25390625" style="0" customWidth="1"/>
    <col min="11" max="11" width="19.50390625" style="4" customWidth="1"/>
    <col min="12" max="12" width="55.875" style="0" customWidth="1"/>
    <col min="13" max="13" width="9.875" style="0" customWidth="1"/>
    <col min="14" max="14" width="8.00390625" style="0" customWidth="1"/>
  </cols>
  <sheetData>
    <row r="1" spans="1:14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3" t="s">
        <v>14</v>
      </c>
      <c r="N3" s="14" t="s">
        <v>15</v>
      </c>
    </row>
    <row r="4" spans="1:14" ht="49.5" customHeight="1">
      <c r="A4" s="8">
        <v>1</v>
      </c>
      <c r="B4" s="9" t="str">
        <f>"潘婷婷"</f>
        <v>潘婷婷</v>
      </c>
      <c r="C4" s="9" t="str">
        <f aca="true" t="shared" si="0" ref="C4:C8">"女"</f>
        <v>女</v>
      </c>
      <c r="D4" s="10">
        <v>1996.01</v>
      </c>
      <c r="E4" s="9" t="str">
        <f>"汉族"</f>
        <v>汉族</v>
      </c>
      <c r="F4" s="9" t="str">
        <f aca="true" t="shared" si="1" ref="F4:F9">"中共党员"</f>
        <v>中共党员</v>
      </c>
      <c r="G4" s="9" t="str">
        <f aca="true" t="shared" si="2" ref="G4:G9">"海南大学"</f>
        <v>海南大学</v>
      </c>
      <c r="H4" s="9" t="str">
        <f>"研究生学历法学硕士学位"</f>
        <v>研究生学历法学硕士学位</v>
      </c>
      <c r="I4" s="9" t="str">
        <f>"政治学理论"</f>
        <v>政治学理论</v>
      </c>
      <c r="J4" s="15">
        <v>301010212307</v>
      </c>
      <c r="K4" s="23" t="s">
        <v>16</v>
      </c>
      <c r="L4" s="24" t="s">
        <v>17</v>
      </c>
      <c r="M4" s="18" t="s">
        <v>18</v>
      </c>
      <c r="N4" s="19"/>
    </row>
    <row r="5" spans="1:14" ht="49.5" customHeight="1">
      <c r="A5" s="8">
        <v>2</v>
      </c>
      <c r="B5" s="9" t="str">
        <f>"吴静仪"</f>
        <v>吴静仪</v>
      </c>
      <c r="C5" s="9" t="str">
        <f t="shared" si="0"/>
        <v>女</v>
      </c>
      <c r="D5" s="10">
        <v>1995.07</v>
      </c>
      <c r="E5" s="9" t="str">
        <f aca="true" t="shared" si="3" ref="E5:E14">"汉族"</f>
        <v>汉族</v>
      </c>
      <c r="F5" s="9" t="str">
        <f>"群众"</f>
        <v>群众</v>
      </c>
      <c r="G5" s="9" t="str">
        <f t="shared" si="2"/>
        <v>海南大学</v>
      </c>
      <c r="H5" s="9" t="s">
        <v>19</v>
      </c>
      <c r="I5" s="9" t="str">
        <f>"会计学"</f>
        <v>会计学</v>
      </c>
      <c r="J5" s="15">
        <v>301020100122</v>
      </c>
      <c r="K5" s="16" t="s">
        <v>20</v>
      </c>
      <c r="L5" s="24" t="s">
        <v>21</v>
      </c>
      <c r="M5" s="18" t="s">
        <v>18</v>
      </c>
      <c r="N5" s="19"/>
    </row>
    <row r="6" spans="1:14" ht="49.5" customHeight="1">
      <c r="A6" s="8">
        <v>3</v>
      </c>
      <c r="B6" s="9" t="str">
        <f>"陈佳怡"</f>
        <v>陈佳怡</v>
      </c>
      <c r="C6" s="9" t="str">
        <f t="shared" si="0"/>
        <v>女</v>
      </c>
      <c r="D6" s="9">
        <v>1998.09</v>
      </c>
      <c r="E6" s="9" t="str">
        <f t="shared" si="3"/>
        <v>汉族</v>
      </c>
      <c r="F6" s="9" t="str">
        <f>"共青团员"</f>
        <v>共青团员</v>
      </c>
      <c r="G6" s="9" t="str">
        <f>"西安外事学院"</f>
        <v>西安外事学院</v>
      </c>
      <c r="H6" s="9" t="s">
        <v>19</v>
      </c>
      <c r="I6" s="9" t="str">
        <f>"会计学"</f>
        <v>会计学</v>
      </c>
      <c r="J6" s="15">
        <v>301020100825</v>
      </c>
      <c r="K6" s="16" t="s">
        <v>22</v>
      </c>
      <c r="L6" s="24" t="s">
        <v>21</v>
      </c>
      <c r="M6" s="18" t="s">
        <v>18</v>
      </c>
      <c r="N6" s="19"/>
    </row>
    <row r="7" spans="1:14" ht="49.5" customHeight="1">
      <c r="A7" s="8">
        <v>4</v>
      </c>
      <c r="B7" s="9" t="str">
        <f>"杜彦君"</f>
        <v>杜彦君</v>
      </c>
      <c r="C7" s="9" t="str">
        <f t="shared" si="0"/>
        <v>女</v>
      </c>
      <c r="D7" s="9">
        <v>1988.04</v>
      </c>
      <c r="E7" s="9" t="str">
        <f t="shared" si="3"/>
        <v>汉族</v>
      </c>
      <c r="F7" s="9" t="str">
        <f t="shared" si="1"/>
        <v>中共党员</v>
      </c>
      <c r="G7" s="9" t="str">
        <f>"东北师范大学"</f>
        <v>东北师范大学</v>
      </c>
      <c r="H7" s="9" t="s">
        <v>23</v>
      </c>
      <c r="I7" s="9" t="str">
        <f>"法学"</f>
        <v>法学</v>
      </c>
      <c r="J7" s="15">
        <v>301030105028</v>
      </c>
      <c r="K7" s="16" t="s">
        <v>24</v>
      </c>
      <c r="L7" s="24" t="s">
        <v>25</v>
      </c>
      <c r="M7" s="18" t="s">
        <v>18</v>
      </c>
      <c r="N7" s="19"/>
    </row>
    <row r="8" spans="1:14" ht="49.5" customHeight="1">
      <c r="A8" s="8">
        <v>5</v>
      </c>
      <c r="B8" s="9" t="str">
        <f>"罗祺"</f>
        <v>罗祺</v>
      </c>
      <c r="C8" s="9" t="str">
        <f t="shared" si="0"/>
        <v>女</v>
      </c>
      <c r="D8" s="9">
        <v>2000.08</v>
      </c>
      <c r="E8" s="9" t="str">
        <f t="shared" si="3"/>
        <v>汉族</v>
      </c>
      <c r="F8" s="9" t="str">
        <f>"共青团员"</f>
        <v>共青团员</v>
      </c>
      <c r="G8" s="9" t="str">
        <f t="shared" si="2"/>
        <v>海南大学</v>
      </c>
      <c r="H8" s="9" t="s">
        <v>26</v>
      </c>
      <c r="I8" s="9" t="str">
        <f>"汉语言文学"</f>
        <v>汉语言文学</v>
      </c>
      <c r="J8" s="15">
        <v>302010109029</v>
      </c>
      <c r="K8" s="16" t="s">
        <v>27</v>
      </c>
      <c r="L8" s="24" t="s">
        <v>28</v>
      </c>
      <c r="M8" s="18" t="s">
        <v>18</v>
      </c>
      <c r="N8" s="19"/>
    </row>
    <row r="9" spans="1:14" ht="49.5" customHeight="1">
      <c r="A9" s="8">
        <v>6</v>
      </c>
      <c r="B9" s="9" t="str">
        <f>"曾乙秦"</f>
        <v>曾乙秦</v>
      </c>
      <c r="C9" s="9" t="str">
        <f aca="true" t="shared" si="4" ref="C9:C15">"男"</f>
        <v>男</v>
      </c>
      <c r="D9" s="9">
        <v>1987.07</v>
      </c>
      <c r="E9" s="9" t="str">
        <f t="shared" si="3"/>
        <v>汉族</v>
      </c>
      <c r="F9" s="9" t="str">
        <f t="shared" si="1"/>
        <v>中共党员</v>
      </c>
      <c r="G9" s="9" t="str">
        <f t="shared" si="2"/>
        <v>海南大学</v>
      </c>
      <c r="H9" s="9" t="s">
        <v>23</v>
      </c>
      <c r="I9" s="9" t="str">
        <f>"法学"</f>
        <v>法学</v>
      </c>
      <c r="J9" s="15">
        <v>303010106305</v>
      </c>
      <c r="K9" s="16" t="s">
        <v>29</v>
      </c>
      <c r="L9" s="24" t="s">
        <v>30</v>
      </c>
      <c r="M9" s="18" t="s">
        <v>18</v>
      </c>
      <c r="N9" s="19"/>
    </row>
    <row r="10" spans="1:14" ht="49.5" customHeight="1">
      <c r="A10" s="8">
        <v>7</v>
      </c>
      <c r="B10" s="9" t="str">
        <f>"吴小波"</f>
        <v>吴小波</v>
      </c>
      <c r="C10" s="9" t="str">
        <f t="shared" si="4"/>
        <v>男</v>
      </c>
      <c r="D10" s="9">
        <v>1991.09</v>
      </c>
      <c r="E10" s="9" t="str">
        <f t="shared" si="3"/>
        <v>汉族</v>
      </c>
      <c r="F10" s="9" t="str">
        <f aca="true" t="shared" si="5" ref="F10:F12">"群众"</f>
        <v>群众</v>
      </c>
      <c r="G10" s="9" t="str">
        <f>"河北大学工商学院"</f>
        <v>河北大学工商学院</v>
      </c>
      <c r="H10" s="9" t="s">
        <v>31</v>
      </c>
      <c r="I10" s="9" t="str">
        <f>"电子信息科学与技术"</f>
        <v>电子信息科学与技术</v>
      </c>
      <c r="J10" s="15">
        <v>303020212703</v>
      </c>
      <c r="K10" s="16" t="s">
        <v>32</v>
      </c>
      <c r="L10" s="24" t="s">
        <v>33</v>
      </c>
      <c r="M10" s="18" t="s">
        <v>18</v>
      </c>
      <c r="N10" s="19"/>
    </row>
    <row r="11" spans="1:14" ht="49.5" customHeight="1">
      <c r="A11" s="8">
        <v>8</v>
      </c>
      <c r="B11" s="9" t="str">
        <f>"许云金"</f>
        <v>许云金</v>
      </c>
      <c r="C11" s="9" t="str">
        <f aca="true" t="shared" si="6" ref="C11:C13">"女"</f>
        <v>女</v>
      </c>
      <c r="D11" s="9">
        <v>1990.04</v>
      </c>
      <c r="E11" s="9" t="str">
        <f t="shared" si="3"/>
        <v>汉族</v>
      </c>
      <c r="F11" s="9" t="str">
        <f t="shared" si="5"/>
        <v>群众</v>
      </c>
      <c r="G11" s="9" t="str">
        <f>"海南师范大学"</f>
        <v>海南师范大学</v>
      </c>
      <c r="H11" s="9" t="s">
        <v>19</v>
      </c>
      <c r="I11" s="9" t="str">
        <f>"人力资源管理"</f>
        <v>人力资源管理</v>
      </c>
      <c r="J11" s="15">
        <v>304010107312</v>
      </c>
      <c r="K11" s="16" t="s">
        <v>34</v>
      </c>
      <c r="L11" s="24" t="s">
        <v>35</v>
      </c>
      <c r="M11" s="18" t="s">
        <v>18</v>
      </c>
      <c r="N11" s="19"/>
    </row>
    <row r="12" spans="1:14" ht="49.5" customHeight="1">
      <c r="A12" s="8">
        <v>9</v>
      </c>
      <c r="B12" s="9" t="str">
        <f>"陈奕丹"</f>
        <v>陈奕丹</v>
      </c>
      <c r="C12" s="9" t="str">
        <f t="shared" si="6"/>
        <v>女</v>
      </c>
      <c r="D12" s="9">
        <v>1990.04</v>
      </c>
      <c r="E12" s="9" t="str">
        <f t="shared" si="3"/>
        <v>汉族</v>
      </c>
      <c r="F12" s="9" t="str">
        <f t="shared" si="5"/>
        <v>群众</v>
      </c>
      <c r="G12" s="9" t="str">
        <f>"海南大学"</f>
        <v>海南大学</v>
      </c>
      <c r="H12" s="9" t="s">
        <v>19</v>
      </c>
      <c r="I12" s="9" t="str">
        <f>"人力资源管理"</f>
        <v>人力资源管理</v>
      </c>
      <c r="J12" s="15">
        <v>304010107414</v>
      </c>
      <c r="K12" s="16" t="s">
        <v>36</v>
      </c>
      <c r="L12" s="24" t="s">
        <v>35</v>
      </c>
      <c r="M12" s="18" t="s">
        <v>18</v>
      </c>
      <c r="N12" s="19"/>
    </row>
    <row r="13" spans="1:14" ht="49.5" customHeight="1">
      <c r="A13" s="8">
        <v>10</v>
      </c>
      <c r="B13" s="9" t="str">
        <f>"羊广春"</f>
        <v>羊广春</v>
      </c>
      <c r="C13" s="9" t="str">
        <f t="shared" si="6"/>
        <v>女</v>
      </c>
      <c r="D13" s="9">
        <v>2001.12</v>
      </c>
      <c r="E13" s="9" t="str">
        <f t="shared" si="3"/>
        <v>汉族</v>
      </c>
      <c r="F13" s="9" t="str">
        <f>"共青团员"</f>
        <v>共青团员</v>
      </c>
      <c r="G13" s="9" t="str">
        <f>"湖南工商大学"</f>
        <v>湖南工商大学</v>
      </c>
      <c r="H13" s="9" t="s">
        <v>37</v>
      </c>
      <c r="I13" s="9" t="str">
        <f>"会计学"</f>
        <v>会计学</v>
      </c>
      <c r="J13" s="15">
        <v>304020103405</v>
      </c>
      <c r="K13" s="16" t="s">
        <v>38</v>
      </c>
      <c r="L13" s="24" t="s">
        <v>39</v>
      </c>
      <c r="M13" s="18" t="s">
        <v>18</v>
      </c>
      <c r="N13" s="19"/>
    </row>
    <row r="14" spans="1:14" ht="49.5" customHeight="1">
      <c r="A14" s="8">
        <v>11</v>
      </c>
      <c r="B14" s="9" t="str">
        <f>"汪泓宇"</f>
        <v>汪泓宇</v>
      </c>
      <c r="C14" s="9" t="str">
        <f t="shared" si="4"/>
        <v>男</v>
      </c>
      <c r="D14" s="9">
        <v>1999.03</v>
      </c>
      <c r="E14" s="9" t="str">
        <f t="shared" si="3"/>
        <v>汉族</v>
      </c>
      <c r="F14" s="9" t="str">
        <f>"群众"</f>
        <v>群众</v>
      </c>
      <c r="G14" s="9" t="str">
        <f>"沈阳师范大学"</f>
        <v>沈阳师范大学</v>
      </c>
      <c r="H14" s="9" t="s">
        <v>37</v>
      </c>
      <c r="I14" s="9" t="str">
        <f>"计算机科学与技术"</f>
        <v>计算机科学与技术</v>
      </c>
      <c r="J14" s="15">
        <v>304030213511</v>
      </c>
      <c r="K14" s="16" t="s">
        <v>40</v>
      </c>
      <c r="L14" s="24" t="s">
        <v>41</v>
      </c>
      <c r="M14" s="18" t="s">
        <v>18</v>
      </c>
      <c r="N14" s="19"/>
    </row>
    <row r="15" spans="1:14" ht="49.5" customHeight="1">
      <c r="A15" s="8">
        <v>12</v>
      </c>
      <c r="B15" s="9" t="str">
        <f>"李家吉"</f>
        <v>李家吉</v>
      </c>
      <c r="C15" s="9" t="str">
        <f t="shared" si="4"/>
        <v>男</v>
      </c>
      <c r="D15" s="9">
        <v>1999.04</v>
      </c>
      <c r="E15" s="9" t="str">
        <f>"黎族"</f>
        <v>黎族</v>
      </c>
      <c r="F15" s="9" t="str">
        <f aca="true" t="shared" si="7" ref="F15:F24">"共青团员"</f>
        <v>共青团员</v>
      </c>
      <c r="G15" s="9" t="str">
        <f>"江苏科技大学"</f>
        <v>江苏科技大学</v>
      </c>
      <c r="H15" s="9" t="s">
        <v>37</v>
      </c>
      <c r="I15" s="9" t="str">
        <f>"计算机科学与技术"</f>
        <v>计算机科学与技术</v>
      </c>
      <c r="J15" s="15">
        <v>304030213905</v>
      </c>
      <c r="K15" s="16" t="s">
        <v>42</v>
      </c>
      <c r="L15" s="24" t="s">
        <v>41</v>
      </c>
      <c r="M15" s="18" t="s">
        <v>18</v>
      </c>
      <c r="N15" s="19"/>
    </row>
    <row r="16" spans="1:14" ht="49.5" customHeight="1">
      <c r="A16" s="8">
        <v>13</v>
      </c>
      <c r="B16" s="9" t="str">
        <f>"谢彤"</f>
        <v>谢彤</v>
      </c>
      <c r="C16" s="9" t="str">
        <f aca="true" t="shared" si="8" ref="C16:C18">"女"</f>
        <v>女</v>
      </c>
      <c r="D16" s="9">
        <v>2000.05</v>
      </c>
      <c r="E16" s="9" t="str">
        <f aca="true" t="shared" si="9" ref="E16:E27">"汉族"</f>
        <v>汉族</v>
      </c>
      <c r="F16" s="9" t="str">
        <f>"中共党员"</f>
        <v>中共党员</v>
      </c>
      <c r="G16" s="9" t="str">
        <f>"云南大学"</f>
        <v>云南大学</v>
      </c>
      <c r="H16" s="9" t="s">
        <v>23</v>
      </c>
      <c r="I16" s="9" t="str">
        <f>"法学"</f>
        <v>法学</v>
      </c>
      <c r="J16" s="15">
        <v>304040105109</v>
      </c>
      <c r="K16" s="16" t="s">
        <v>43</v>
      </c>
      <c r="L16" s="24" t="s">
        <v>44</v>
      </c>
      <c r="M16" s="18" t="s">
        <v>18</v>
      </c>
      <c r="N16" s="19"/>
    </row>
    <row r="17" spans="1:14" ht="49.5" customHeight="1">
      <c r="A17" s="8">
        <v>14</v>
      </c>
      <c r="B17" s="9" t="str">
        <f>"陈莉莉"</f>
        <v>陈莉莉</v>
      </c>
      <c r="C17" s="9" t="str">
        <f t="shared" si="8"/>
        <v>女</v>
      </c>
      <c r="D17" s="9">
        <v>1999.08</v>
      </c>
      <c r="E17" s="9" t="str">
        <f t="shared" si="9"/>
        <v>汉族</v>
      </c>
      <c r="F17" s="9" t="str">
        <f>"群众"</f>
        <v>群众</v>
      </c>
      <c r="G17" s="9" t="str">
        <f>"烟台大学文经学院"</f>
        <v>烟台大学文经学院</v>
      </c>
      <c r="H17" s="9" t="s">
        <v>23</v>
      </c>
      <c r="I17" s="9" t="str">
        <f>"法学"</f>
        <v>法学</v>
      </c>
      <c r="J17" s="15">
        <v>304040105206</v>
      </c>
      <c r="K17" s="16" t="s">
        <v>45</v>
      </c>
      <c r="L17" s="24" t="s">
        <v>44</v>
      </c>
      <c r="M17" s="18" t="s">
        <v>18</v>
      </c>
      <c r="N17" s="19"/>
    </row>
    <row r="18" spans="1:14" ht="49.5" customHeight="1">
      <c r="A18" s="8">
        <v>15</v>
      </c>
      <c r="B18" s="9" t="str">
        <f>"叶碧香"</f>
        <v>叶碧香</v>
      </c>
      <c r="C18" s="9" t="str">
        <f t="shared" si="8"/>
        <v>女</v>
      </c>
      <c r="D18" s="9">
        <v>1991.09</v>
      </c>
      <c r="E18" s="9" t="str">
        <f t="shared" si="9"/>
        <v>汉族</v>
      </c>
      <c r="F18" s="9" t="str">
        <f>"中共党员"</f>
        <v>中共党员</v>
      </c>
      <c r="G18" s="9" t="str">
        <f>"琼州学院"</f>
        <v>琼州学院</v>
      </c>
      <c r="H18" s="9" t="s">
        <v>23</v>
      </c>
      <c r="I18" s="9" t="str">
        <f>"思想政治教育（师范）"</f>
        <v>思想政治教育（师范）</v>
      </c>
      <c r="J18" s="15">
        <v>304050212321</v>
      </c>
      <c r="K18" s="16" t="s">
        <v>46</v>
      </c>
      <c r="L18" s="24" t="s">
        <v>47</v>
      </c>
      <c r="M18" s="18" t="s">
        <v>18</v>
      </c>
      <c r="N18" s="19"/>
    </row>
    <row r="19" spans="1:14" ht="49.5" customHeight="1">
      <c r="A19" s="8">
        <v>16</v>
      </c>
      <c r="B19" s="9" t="str">
        <f>"盛秀山"</f>
        <v>盛秀山</v>
      </c>
      <c r="C19" s="9" t="str">
        <f aca="true" t="shared" si="10" ref="C19:C21">"男"</f>
        <v>男</v>
      </c>
      <c r="D19" s="9">
        <v>1997.06</v>
      </c>
      <c r="E19" s="9" t="str">
        <f t="shared" si="9"/>
        <v>汉族</v>
      </c>
      <c r="F19" s="9" t="str">
        <f t="shared" si="7"/>
        <v>共青团员</v>
      </c>
      <c r="G19" s="9" t="str">
        <f>"新南威尔士"</f>
        <v>新南威尔士</v>
      </c>
      <c r="H19" s="9" t="s">
        <v>37</v>
      </c>
      <c r="I19" s="9" t="str">
        <f>"交通工程"</f>
        <v>交通工程</v>
      </c>
      <c r="J19" s="15">
        <v>304060215002</v>
      </c>
      <c r="K19" s="16" t="s">
        <v>48</v>
      </c>
      <c r="L19" s="24" t="s">
        <v>49</v>
      </c>
      <c r="M19" s="18" t="s">
        <v>18</v>
      </c>
      <c r="N19" s="19"/>
    </row>
    <row r="20" spans="1:14" ht="49.5" customHeight="1">
      <c r="A20" s="8">
        <v>17</v>
      </c>
      <c r="B20" s="9" t="str">
        <f>"符传辉"</f>
        <v>符传辉</v>
      </c>
      <c r="C20" s="9" t="str">
        <f t="shared" si="10"/>
        <v>男</v>
      </c>
      <c r="D20" s="9">
        <v>1997.04</v>
      </c>
      <c r="E20" s="9" t="str">
        <f t="shared" si="9"/>
        <v>汉族</v>
      </c>
      <c r="F20" s="9" t="str">
        <f t="shared" si="7"/>
        <v>共青团员</v>
      </c>
      <c r="G20" s="9" t="str">
        <f>"长安大学"</f>
        <v>长安大学</v>
      </c>
      <c r="H20" s="9" t="s">
        <v>37</v>
      </c>
      <c r="I20" s="9" t="str">
        <f>"道路桥梁与渡河工程（道路工程）"</f>
        <v>道路桥梁与渡河工程（道路工程）</v>
      </c>
      <c r="J20" s="15">
        <v>304070216711</v>
      </c>
      <c r="K20" s="16" t="s">
        <v>50</v>
      </c>
      <c r="L20" s="24" t="s">
        <v>51</v>
      </c>
      <c r="M20" s="18" t="s">
        <v>18</v>
      </c>
      <c r="N20" s="19"/>
    </row>
    <row r="21" spans="1:14" ht="49.5" customHeight="1">
      <c r="A21" s="8">
        <v>18</v>
      </c>
      <c r="B21" s="9" t="str">
        <f>"王佛乐"</f>
        <v>王佛乐</v>
      </c>
      <c r="C21" s="9" t="str">
        <f t="shared" si="10"/>
        <v>男</v>
      </c>
      <c r="D21" s="9">
        <v>1999.08</v>
      </c>
      <c r="E21" s="9" t="str">
        <f t="shared" si="9"/>
        <v>汉族</v>
      </c>
      <c r="F21" s="9" t="str">
        <f t="shared" si="7"/>
        <v>共青团员</v>
      </c>
      <c r="G21" s="9" t="str">
        <f>"江苏科技大学"</f>
        <v>江苏科技大学</v>
      </c>
      <c r="H21" s="9" t="s">
        <v>37</v>
      </c>
      <c r="I21" s="9" t="str">
        <f>"自动化"</f>
        <v>自动化</v>
      </c>
      <c r="J21" s="15">
        <v>304080110305</v>
      </c>
      <c r="K21" s="16" t="s">
        <v>52</v>
      </c>
      <c r="L21" s="24" t="s">
        <v>53</v>
      </c>
      <c r="M21" s="18" t="s">
        <v>18</v>
      </c>
      <c r="N21" s="19"/>
    </row>
    <row r="22" spans="1:14" ht="49.5" customHeight="1">
      <c r="A22" s="8">
        <v>19</v>
      </c>
      <c r="B22" s="9" t="str">
        <f>"黎灵璞"</f>
        <v>黎灵璞</v>
      </c>
      <c r="C22" s="9" t="str">
        <f aca="true" t="shared" si="11" ref="C22:C26">"女"</f>
        <v>女</v>
      </c>
      <c r="D22" s="9">
        <v>1999.02</v>
      </c>
      <c r="E22" s="9" t="str">
        <f t="shared" si="9"/>
        <v>汉族</v>
      </c>
      <c r="F22" s="9" t="str">
        <f t="shared" si="7"/>
        <v>共青团员</v>
      </c>
      <c r="G22" s="9" t="str">
        <f aca="true" t="shared" si="12" ref="G22:G26">"海南热带海洋学院"</f>
        <v>海南热带海洋学院</v>
      </c>
      <c r="H22" s="9" t="str">
        <f>"大学本科学历农学学士学位"</f>
        <v>大学本科学历农学学士学位</v>
      </c>
      <c r="I22" s="9" t="str">
        <f>"园艺"</f>
        <v>园艺</v>
      </c>
      <c r="J22" s="15">
        <v>304090111105</v>
      </c>
      <c r="K22" s="16" t="s">
        <v>54</v>
      </c>
      <c r="L22" s="24" t="s">
        <v>55</v>
      </c>
      <c r="M22" s="18" t="s">
        <v>18</v>
      </c>
      <c r="N22" s="19"/>
    </row>
    <row r="23" spans="1:14" ht="49.5" customHeight="1">
      <c r="A23" s="8">
        <v>20</v>
      </c>
      <c r="B23" s="9" t="str">
        <f>"钟易汝"</f>
        <v>钟易汝</v>
      </c>
      <c r="C23" s="9" t="str">
        <f t="shared" si="11"/>
        <v>女</v>
      </c>
      <c r="D23" s="9">
        <v>2000.07</v>
      </c>
      <c r="E23" s="9" t="str">
        <f t="shared" si="9"/>
        <v>汉族</v>
      </c>
      <c r="F23" s="9" t="str">
        <f t="shared" si="7"/>
        <v>共青团员</v>
      </c>
      <c r="G23" s="9" t="str">
        <f>"海南大学"</f>
        <v>海南大学</v>
      </c>
      <c r="H23" s="9" t="str">
        <f>"大学本科学历文学学士学位"</f>
        <v>大学本科学历文学学士学位</v>
      </c>
      <c r="I23" s="9" t="str">
        <f>"汉语言文学"</f>
        <v>汉语言文学</v>
      </c>
      <c r="J23" s="15">
        <v>305010108614</v>
      </c>
      <c r="K23" s="16" t="s">
        <v>56</v>
      </c>
      <c r="L23" s="24" t="s">
        <v>57</v>
      </c>
      <c r="M23" s="18" t="s">
        <v>18</v>
      </c>
      <c r="N23" s="19"/>
    </row>
    <row r="24" spans="1:14" ht="49.5" customHeight="1">
      <c r="A24" s="8">
        <v>21</v>
      </c>
      <c r="B24" s="9" t="str">
        <f>"王必侯"</f>
        <v>王必侯</v>
      </c>
      <c r="C24" s="9" t="str">
        <f aca="true" t="shared" si="13" ref="C24:C31">"男"</f>
        <v>男</v>
      </c>
      <c r="D24" s="9">
        <v>1998.04</v>
      </c>
      <c r="E24" s="9" t="str">
        <f t="shared" si="9"/>
        <v>汉族</v>
      </c>
      <c r="F24" s="9" t="str">
        <f t="shared" si="7"/>
        <v>共青团员</v>
      </c>
      <c r="G24" s="9" t="str">
        <f t="shared" si="12"/>
        <v>海南热带海洋学院</v>
      </c>
      <c r="H24" s="9" t="str">
        <f>"大学本科学历文学学士学位"</f>
        <v>大学本科学历文学学士学位</v>
      </c>
      <c r="I24" s="9" t="str">
        <f>"秘书学"</f>
        <v>秘书学</v>
      </c>
      <c r="J24" s="20">
        <v>305010109124</v>
      </c>
      <c r="K24" s="25" t="s">
        <v>58</v>
      </c>
      <c r="L24" s="24" t="s">
        <v>57</v>
      </c>
      <c r="M24" s="18" t="s">
        <v>18</v>
      </c>
      <c r="N24" s="19"/>
    </row>
    <row r="25" spans="1:14" ht="49.5" customHeight="1">
      <c r="A25" s="8">
        <v>22</v>
      </c>
      <c r="B25" s="9" t="str">
        <f>"毛莎莎"</f>
        <v>毛莎莎</v>
      </c>
      <c r="C25" s="9" t="str">
        <f t="shared" si="11"/>
        <v>女</v>
      </c>
      <c r="D25" s="9">
        <v>1988.09</v>
      </c>
      <c r="E25" s="9" t="str">
        <f t="shared" si="9"/>
        <v>汉族</v>
      </c>
      <c r="F25" s="9" t="str">
        <f>"中共党员"</f>
        <v>中共党员</v>
      </c>
      <c r="G25" s="9" t="str">
        <f>"西昌学院"</f>
        <v>西昌学院</v>
      </c>
      <c r="H25" s="9" t="str">
        <f>"大学本科学历法学学士学位"</f>
        <v>大学本科学历法学学士学位</v>
      </c>
      <c r="I25" s="9" t="str">
        <f>"思想政治教育"</f>
        <v>思想政治教育</v>
      </c>
      <c r="J25" s="15">
        <v>305020212306</v>
      </c>
      <c r="K25" s="16" t="s">
        <v>59</v>
      </c>
      <c r="L25" s="24" t="s">
        <v>60</v>
      </c>
      <c r="M25" s="18" t="s">
        <v>18</v>
      </c>
      <c r="N25" s="19"/>
    </row>
    <row r="26" spans="1:14" ht="49.5" customHeight="1">
      <c r="A26" s="8">
        <v>23</v>
      </c>
      <c r="B26" s="9" t="str">
        <f>"王雅芳"</f>
        <v>王雅芳</v>
      </c>
      <c r="C26" s="9" t="str">
        <f t="shared" si="11"/>
        <v>女</v>
      </c>
      <c r="D26" s="9">
        <v>1999.12</v>
      </c>
      <c r="E26" s="9" t="str">
        <f t="shared" si="9"/>
        <v>汉族</v>
      </c>
      <c r="F26" s="9" t="str">
        <f>"共青团员"</f>
        <v>共青团员</v>
      </c>
      <c r="G26" s="9" t="str">
        <f t="shared" si="12"/>
        <v>海南热带海洋学院</v>
      </c>
      <c r="H26" s="9" t="str">
        <f>"大学本科学历管理学学士学位"</f>
        <v>大学本科学历管理学学士学位</v>
      </c>
      <c r="I26" s="9" t="str">
        <f>"财务管理"</f>
        <v>财务管理</v>
      </c>
      <c r="J26" s="15">
        <v>305030100215</v>
      </c>
      <c r="K26" s="16" t="s">
        <v>61</v>
      </c>
      <c r="L26" s="24" t="s">
        <v>62</v>
      </c>
      <c r="M26" s="18" t="s">
        <v>18</v>
      </c>
      <c r="N26" s="19"/>
    </row>
    <row r="27" spans="1:14" ht="49.5" customHeight="1">
      <c r="A27" s="8">
        <v>24</v>
      </c>
      <c r="B27" s="9" t="str">
        <f>"杨学新"</f>
        <v>杨学新</v>
      </c>
      <c r="C27" s="9" t="str">
        <f t="shared" si="13"/>
        <v>男</v>
      </c>
      <c r="D27" s="9">
        <v>1990.07</v>
      </c>
      <c r="E27" s="9" t="str">
        <f t="shared" si="9"/>
        <v>汉族</v>
      </c>
      <c r="F27" s="9" t="str">
        <f aca="true" t="shared" si="14" ref="F27:F31">"群众"</f>
        <v>群众</v>
      </c>
      <c r="G27" s="9" t="str">
        <f>"燕山大学"</f>
        <v>燕山大学</v>
      </c>
      <c r="H27" s="9" t="str">
        <f>"大学本科学历工学学士学位"</f>
        <v>大学本科学历工学学士学位</v>
      </c>
      <c r="I27" s="9" t="str">
        <f aca="true" t="shared" si="15" ref="I27:I30">"土木工程"</f>
        <v>土木工程</v>
      </c>
      <c r="J27" s="15">
        <v>305050214718</v>
      </c>
      <c r="K27" s="16" t="s">
        <v>63</v>
      </c>
      <c r="L27" s="24" t="s">
        <v>64</v>
      </c>
      <c r="M27" s="18" t="s">
        <v>18</v>
      </c>
      <c r="N27" s="19"/>
    </row>
    <row r="28" spans="1:14" ht="49.5" customHeight="1">
      <c r="A28" s="8">
        <v>25</v>
      </c>
      <c r="B28" s="9" t="str">
        <f>"阳牧然"</f>
        <v>阳牧然</v>
      </c>
      <c r="C28" s="9" t="str">
        <f t="shared" si="13"/>
        <v>男</v>
      </c>
      <c r="D28" s="9">
        <v>1991.05</v>
      </c>
      <c r="E28" s="9" t="str">
        <f>"黎族"</f>
        <v>黎族</v>
      </c>
      <c r="F28" s="9" t="str">
        <f>"中共党员"</f>
        <v>中共党员</v>
      </c>
      <c r="G28" s="9" t="str">
        <f>"广西科技大学鹿山学院"</f>
        <v>广西科技大学鹿山学院</v>
      </c>
      <c r="H28" s="9" t="str">
        <f>"大学本科学历工学学士学位"</f>
        <v>大学本科学历工学学士学位</v>
      </c>
      <c r="I28" s="9" t="str">
        <f t="shared" si="15"/>
        <v>土木工程</v>
      </c>
      <c r="J28" s="15">
        <v>305050216722</v>
      </c>
      <c r="K28" s="16" t="s">
        <v>65</v>
      </c>
      <c r="L28" s="24" t="s">
        <v>64</v>
      </c>
      <c r="M28" s="18" t="s">
        <v>18</v>
      </c>
      <c r="N28" s="19"/>
    </row>
    <row r="29" spans="1:14" ht="49.5" customHeight="1">
      <c r="A29" s="8">
        <v>26</v>
      </c>
      <c r="B29" s="9" t="str">
        <f>"符泽琼"</f>
        <v>符泽琼</v>
      </c>
      <c r="C29" s="9" t="str">
        <f t="shared" si="13"/>
        <v>男</v>
      </c>
      <c r="D29" s="9">
        <v>1999.06</v>
      </c>
      <c r="E29" s="9" t="str">
        <f aca="true" t="shared" si="16" ref="E29:E32">"汉族"</f>
        <v>汉族</v>
      </c>
      <c r="F29" s="9" t="str">
        <f>"共青团员"</f>
        <v>共青团员</v>
      </c>
      <c r="G29" s="9" t="str">
        <f>"海南大学"</f>
        <v>海南大学</v>
      </c>
      <c r="H29" s="9" t="str">
        <f>"大学本科学历法学学士学位"</f>
        <v>大学本科学历法学学士学位</v>
      </c>
      <c r="I29" s="9" t="str">
        <f>"法学"</f>
        <v>法学</v>
      </c>
      <c r="J29" s="15">
        <v>305060105012</v>
      </c>
      <c r="K29" s="16" t="s">
        <v>66</v>
      </c>
      <c r="L29" s="24" t="s">
        <v>67</v>
      </c>
      <c r="M29" s="18" t="s">
        <v>18</v>
      </c>
      <c r="N29" s="19"/>
    </row>
    <row r="30" spans="1:14" ht="49.5" customHeight="1">
      <c r="A30" s="8">
        <v>27</v>
      </c>
      <c r="B30" s="9" t="str">
        <f>"李伟毅"</f>
        <v>李伟毅</v>
      </c>
      <c r="C30" s="9" t="str">
        <f t="shared" si="13"/>
        <v>男</v>
      </c>
      <c r="D30" s="9">
        <v>1993.07</v>
      </c>
      <c r="E30" s="9" t="str">
        <f t="shared" si="16"/>
        <v>汉族</v>
      </c>
      <c r="F30" s="9" t="str">
        <f t="shared" si="14"/>
        <v>群众</v>
      </c>
      <c r="G30" s="9" t="str">
        <f>"淮海工学院"</f>
        <v>淮海工学院</v>
      </c>
      <c r="H30" s="9" t="str">
        <f>"大学本科学历工学学士学位"</f>
        <v>大学本科学历工学学士学位</v>
      </c>
      <c r="I30" s="9" t="str">
        <f t="shared" si="15"/>
        <v>土木工程</v>
      </c>
      <c r="J30" s="15">
        <v>305070215614</v>
      </c>
      <c r="K30" s="16" t="s">
        <v>68</v>
      </c>
      <c r="L30" s="24" t="s">
        <v>69</v>
      </c>
      <c r="M30" s="18" t="s">
        <v>18</v>
      </c>
      <c r="N30" s="19"/>
    </row>
    <row r="31" spans="1:14" ht="49.5" customHeight="1">
      <c r="A31" s="8">
        <v>28</v>
      </c>
      <c r="B31" s="9" t="str">
        <f>"李大育"</f>
        <v>李大育</v>
      </c>
      <c r="C31" s="9" t="str">
        <f t="shared" si="13"/>
        <v>男</v>
      </c>
      <c r="D31" s="9">
        <v>1994.05</v>
      </c>
      <c r="E31" s="9" t="str">
        <f t="shared" si="16"/>
        <v>汉族</v>
      </c>
      <c r="F31" s="9" t="str">
        <f t="shared" si="14"/>
        <v>群众</v>
      </c>
      <c r="G31" s="9" t="str">
        <f>"合肥工业大学"</f>
        <v>合肥工业大学</v>
      </c>
      <c r="H31" s="9" t="str">
        <f>"大学本科学历工学学士学位"</f>
        <v>大学本科学历工学学士学位</v>
      </c>
      <c r="I31" s="9" t="str">
        <f>"过程装备与控制工程"</f>
        <v>过程装备与控制工程</v>
      </c>
      <c r="J31" s="20">
        <v>305080110516</v>
      </c>
      <c r="K31" s="25" t="s">
        <v>70</v>
      </c>
      <c r="L31" s="24" t="s">
        <v>71</v>
      </c>
      <c r="M31" s="18" t="s">
        <v>18</v>
      </c>
      <c r="N31" s="19"/>
    </row>
    <row r="32" spans="1:14" ht="49.5" customHeight="1">
      <c r="A32" s="8">
        <v>29</v>
      </c>
      <c r="B32" s="9" t="str">
        <f>"梁秀婵"</f>
        <v>梁秀婵</v>
      </c>
      <c r="C32" s="9" t="str">
        <f aca="true" t="shared" si="17" ref="C32:C37">"女"</f>
        <v>女</v>
      </c>
      <c r="D32" s="9">
        <v>1996.04</v>
      </c>
      <c r="E32" s="9" t="str">
        <f t="shared" si="16"/>
        <v>汉族</v>
      </c>
      <c r="F32" s="9" t="str">
        <f>"共青团员"</f>
        <v>共青团员</v>
      </c>
      <c r="G32" s="9" t="str">
        <f>"海南大学"</f>
        <v>海南大学</v>
      </c>
      <c r="H32" s="9" t="str">
        <f>"大学本科学历工学学士学位"</f>
        <v>大学本科学历工学学士学位</v>
      </c>
      <c r="I32" s="9" t="str">
        <f>"风景园林"</f>
        <v>风景园林</v>
      </c>
      <c r="J32" s="15">
        <v>306010111622</v>
      </c>
      <c r="K32" s="16" t="s">
        <v>72</v>
      </c>
      <c r="L32" s="24" t="s">
        <v>73</v>
      </c>
      <c r="M32" s="18" t="s">
        <v>18</v>
      </c>
      <c r="N32" s="19"/>
    </row>
    <row r="33" spans="1:14" ht="49.5" customHeight="1">
      <c r="A33" s="8">
        <v>30</v>
      </c>
      <c r="B33" s="9" t="str">
        <f>"林惠恒"</f>
        <v>林惠恒</v>
      </c>
      <c r="C33" s="9" t="str">
        <f t="shared" si="17"/>
        <v>女</v>
      </c>
      <c r="D33" s="9">
        <v>1996.01</v>
      </c>
      <c r="E33" s="9" t="str">
        <f aca="true" t="shared" si="18" ref="E33:E41">"汉族"</f>
        <v>汉族</v>
      </c>
      <c r="F33" s="9" t="str">
        <f aca="true" t="shared" si="19" ref="F33:F38">"共青团员"</f>
        <v>共青团员</v>
      </c>
      <c r="G33" s="9" t="str">
        <f>"广东海洋大学"</f>
        <v>广东海洋大学</v>
      </c>
      <c r="H33" s="9" t="str">
        <f>"大学本科学历管理学学士学位"</f>
        <v>大学本科学历管理学学士学位</v>
      </c>
      <c r="I33" s="9" t="str">
        <f>"工商管理"</f>
        <v>工商管理</v>
      </c>
      <c r="J33" s="15">
        <v>306030102030</v>
      </c>
      <c r="K33" s="16" t="s">
        <v>74</v>
      </c>
      <c r="L33" s="24" t="s">
        <v>75</v>
      </c>
      <c r="M33" s="18" t="s">
        <v>18</v>
      </c>
      <c r="N33" s="19"/>
    </row>
    <row r="34" spans="1:14" ht="49.5" customHeight="1">
      <c r="A34" s="8">
        <v>31</v>
      </c>
      <c r="B34" s="9" t="str">
        <f>"丁小慧"</f>
        <v>丁小慧</v>
      </c>
      <c r="C34" s="9" t="str">
        <f t="shared" si="17"/>
        <v>女</v>
      </c>
      <c r="D34" s="9">
        <v>1997.04</v>
      </c>
      <c r="E34" s="9" t="str">
        <f t="shared" si="18"/>
        <v>汉族</v>
      </c>
      <c r="F34" s="9" t="str">
        <f t="shared" si="19"/>
        <v>共青团员</v>
      </c>
      <c r="G34" s="9" t="str">
        <f>"中南民族大学"</f>
        <v>中南民族大学</v>
      </c>
      <c r="H34" s="9" t="str">
        <f>"大学本科学历管理学学士学位"</f>
        <v>大学本科学历管理学学士学位</v>
      </c>
      <c r="I34" s="9" t="str">
        <f>"财务管理"</f>
        <v>财务管理</v>
      </c>
      <c r="J34" s="15">
        <v>306030103528</v>
      </c>
      <c r="K34" s="16" t="s">
        <v>76</v>
      </c>
      <c r="L34" s="24" t="s">
        <v>75</v>
      </c>
      <c r="M34" s="18" t="s">
        <v>18</v>
      </c>
      <c r="N34" s="19"/>
    </row>
    <row r="35" spans="1:14" ht="49.5" customHeight="1">
      <c r="A35" s="8">
        <v>32</v>
      </c>
      <c r="B35" s="9" t="str">
        <f>"王小雅"</f>
        <v>王小雅</v>
      </c>
      <c r="C35" s="9" t="str">
        <f t="shared" si="17"/>
        <v>女</v>
      </c>
      <c r="D35" s="9">
        <v>2000.08</v>
      </c>
      <c r="E35" s="9" t="str">
        <f t="shared" si="18"/>
        <v>汉族</v>
      </c>
      <c r="F35" s="9" t="str">
        <f t="shared" si="19"/>
        <v>共青团员</v>
      </c>
      <c r="G35" s="9" t="str">
        <f>"郑州工商学院"</f>
        <v>郑州工商学院</v>
      </c>
      <c r="H35" s="9" t="str">
        <f>"大学本科学历法学学士学位"</f>
        <v>大学本科学历法学学士学位</v>
      </c>
      <c r="I35" s="9" t="str">
        <f>"法学"</f>
        <v>法学</v>
      </c>
      <c r="J35" s="15">
        <v>306040105112</v>
      </c>
      <c r="K35" s="16" t="s">
        <v>77</v>
      </c>
      <c r="L35" s="24" t="s">
        <v>78</v>
      </c>
      <c r="M35" s="18" t="s">
        <v>18</v>
      </c>
      <c r="N35" s="19"/>
    </row>
    <row r="36" spans="1:14" ht="49.5" customHeight="1">
      <c r="A36" s="8">
        <v>33</v>
      </c>
      <c r="B36" s="9" t="str">
        <f>"朱琪"</f>
        <v>朱琪</v>
      </c>
      <c r="C36" s="9" t="str">
        <f t="shared" si="17"/>
        <v>女</v>
      </c>
      <c r="D36" s="11">
        <v>2000.1</v>
      </c>
      <c r="E36" s="9" t="str">
        <f t="shared" si="18"/>
        <v>汉族</v>
      </c>
      <c r="F36" s="9" t="str">
        <f t="shared" si="19"/>
        <v>共青团员</v>
      </c>
      <c r="G36" s="9" t="str">
        <f>"西南政法大学"</f>
        <v>西南政法大学</v>
      </c>
      <c r="H36" s="9" t="str">
        <f>"大学本科学历法学学士学位"</f>
        <v>大学本科学历法学学士学位</v>
      </c>
      <c r="I36" s="9" t="str">
        <f>"法学"</f>
        <v>法学</v>
      </c>
      <c r="J36" s="15">
        <v>306040106427</v>
      </c>
      <c r="K36" s="16" t="s">
        <v>79</v>
      </c>
      <c r="L36" s="24" t="s">
        <v>78</v>
      </c>
      <c r="M36" s="18" t="s">
        <v>18</v>
      </c>
      <c r="N36" s="19"/>
    </row>
    <row r="37" spans="1:14" ht="49.5" customHeight="1">
      <c r="A37" s="8">
        <v>34</v>
      </c>
      <c r="B37" s="9" t="str">
        <f>"李钰"</f>
        <v>李钰</v>
      </c>
      <c r="C37" s="9" t="str">
        <f t="shared" si="17"/>
        <v>女</v>
      </c>
      <c r="D37" s="9">
        <v>2000.09</v>
      </c>
      <c r="E37" s="9" t="str">
        <f t="shared" si="18"/>
        <v>汉族</v>
      </c>
      <c r="F37" s="9" t="str">
        <f t="shared" si="19"/>
        <v>共青团员</v>
      </c>
      <c r="G37" s="9" t="str">
        <f>"海南大学"</f>
        <v>海南大学</v>
      </c>
      <c r="H37" s="9" t="str">
        <f>"大学本科学历工学学士学位"</f>
        <v>大学本科学历工学学士学位</v>
      </c>
      <c r="I37" s="9" t="str">
        <f>"物联网工程"</f>
        <v>物联网工程</v>
      </c>
      <c r="J37" s="15">
        <v>306050213120</v>
      </c>
      <c r="K37" s="16" t="s">
        <v>80</v>
      </c>
      <c r="L37" s="24" t="s">
        <v>81</v>
      </c>
      <c r="M37" s="18" t="s">
        <v>18</v>
      </c>
      <c r="N37" s="19"/>
    </row>
    <row r="38" spans="1:14" ht="49.5" customHeight="1">
      <c r="A38" s="8">
        <v>35</v>
      </c>
      <c r="B38" s="9" t="str">
        <f>"欧大帅"</f>
        <v>欧大帅</v>
      </c>
      <c r="C38" s="9" t="str">
        <f>"男"</f>
        <v>男</v>
      </c>
      <c r="D38" s="9">
        <v>1994.12</v>
      </c>
      <c r="E38" s="9" t="str">
        <f t="shared" si="18"/>
        <v>汉族</v>
      </c>
      <c r="F38" s="9" t="str">
        <f t="shared" si="19"/>
        <v>共青团员</v>
      </c>
      <c r="G38" s="9" t="str">
        <f>"辽宁科技大学"</f>
        <v>辽宁科技大学</v>
      </c>
      <c r="H38" s="9" t="str">
        <f>"大学本科学历工学学士学位"</f>
        <v>大学本科学历工学学士学位</v>
      </c>
      <c r="I38" s="9" t="str">
        <f>"土木工程"</f>
        <v>土木工程</v>
      </c>
      <c r="J38" s="15">
        <v>306080214802</v>
      </c>
      <c r="K38" s="16" t="s">
        <v>82</v>
      </c>
      <c r="L38" s="24" t="s">
        <v>83</v>
      </c>
      <c r="M38" s="18" t="s">
        <v>18</v>
      </c>
      <c r="N38" s="19"/>
    </row>
    <row r="39" spans="1:14" ht="49.5" customHeight="1">
      <c r="A39" s="8">
        <v>36</v>
      </c>
      <c r="B39" s="9" t="str">
        <f>"薛富广"</f>
        <v>薛富广</v>
      </c>
      <c r="C39" s="9" t="str">
        <f>"男"</f>
        <v>男</v>
      </c>
      <c r="D39" s="9">
        <v>1994.03</v>
      </c>
      <c r="E39" s="9" t="str">
        <f t="shared" si="18"/>
        <v>汉族</v>
      </c>
      <c r="F39" s="9" t="str">
        <f>"群众"</f>
        <v>群众</v>
      </c>
      <c r="G39" s="9" t="str">
        <f>"桂林理工大学"</f>
        <v>桂林理工大学</v>
      </c>
      <c r="H39" s="9" t="str">
        <f>"大学本科学历工学学士学位"</f>
        <v>大学本科学历工学学士学位</v>
      </c>
      <c r="I39" s="9" t="str">
        <f>"土木工程"</f>
        <v>土木工程</v>
      </c>
      <c r="J39" s="15">
        <v>306080215625</v>
      </c>
      <c r="K39" s="16" t="s">
        <v>84</v>
      </c>
      <c r="L39" s="24" t="s">
        <v>83</v>
      </c>
      <c r="M39" s="18" t="s">
        <v>18</v>
      </c>
      <c r="N39" s="19"/>
    </row>
    <row r="40" spans="1:14" ht="49.5" customHeight="1">
      <c r="A40" s="8">
        <v>37</v>
      </c>
      <c r="B40" s="9" t="str">
        <f>"岑选畅"</f>
        <v>岑选畅</v>
      </c>
      <c r="C40" s="9" t="str">
        <f>"男"</f>
        <v>男</v>
      </c>
      <c r="D40" s="9">
        <v>1996.09</v>
      </c>
      <c r="E40" s="9" t="str">
        <f t="shared" si="18"/>
        <v>汉族</v>
      </c>
      <c r="F40" s="9" t="str">
        <f>"共青团员"</f>
        <v>共青团员</v>
      </c>
      <c r="G40" s="9" t="str">
        <f>"长沙理工大学"</f>
        <v>长沙理工大学</v>
      </c>
      <c r="H40" s="9" t="str">
        <f>"大学本科学历工学学士学位"</f>
        <v>大学本科学历工学学士学位</v>
      </c>
      <c r="I40" s="9" t="str">
        <f>"车辆工程"</f>
        <v>车辆工程</v>
      </c>
      <c r="J40" s="15">
        <v>306090110302</v>
      </c>
      <c r="K40" s="16" t="s">
        <v>85</v>
      </c>
      <c r="L40" s="24" t="s">
        <v>86</v>
      </c>
      <c r="M40" s="18" t="s">
        <v>18</v>
      </c>
      <c r="N40" s="19"/>
    </row>
    <row r="41" spans="1:14" ht="49.5" customHeight="1">
      <c r="A41" s="8">
        <v>38</v>
      </c>
      <c r="B41" s="9" t="str">
        <f>"薛子瞻"</f>
        <v>薛子瞻</v>
      </c>
      <c r="C41" s="9" t="str">
        <f>"男"</f>
        <v>男</v>
      </c>
      <c r="D41" s="9">
        <v>1994.02</v>
      </c>
      <c r="E41" s="9" t="str">
        <f aca="true" t="shared" si="20" ref="E41:E47">"汉族"</f>
        <v>汉族</v>
      </c>
      <c r="F41" s="9" t="str">
        <f>"群众"</f>
        <v>群众</v>
      </c>
      <c r="G41" s="9" t="str">
        <f>"海南大学"</f>
        <v>海南大学</v>
      </c>
      <c r="H41" s="9" t="str">
        <f>"大学本科学历农学学士学位"</f>
        <v>大学本科学历农学学士学位</v>
      </c>
      <c r="I41" s="9" t="str">
        <f>"园艺（花卉与景观设计方向）"</f>
        <v>园艺（花卉与景观设计方向）</v>
      </c>
      <c r="J41" s="15">
        <v>307030111522</v>
      </c>
      <c r="K41" s="16" t="s">
        <v>87</v>
      </c>
      <c r="L41" s="24" t="s">
        <v>88</v>
      </c>
      <c r="M41" s="18" t="s">
        <v>18</v>
      </c>
      <c r="N41" s="19"/>
    </row>
    <row r="42" spans="1:14" ht="49.5" customHeight="1">
      <c r="A42" s="8">
        <v>39</v>
      </c>
      <c r="B42" s="9" t="str">
        <f>"莫惠洁"</f>
        <v>莫惠洁</v>
      </c>
      <c r="C42" s="9" t="str">
        <f aca="true" t="shared" si="21" ref="C42:C46">"女"</f>
        <v>女</v>
      </c>
      <c r="D42" s="12" t="s">
        <v>89</v>
      </c>
      <c r="E42" s="9" t="str">
        <f t="shared" si="20"/>
        <v>汉族</v>
      </c>
      <c r="F42" s="9" t="str">
        <f>"共青团员"</f>
        <v>共青团员</v>
      </c>
      <c r="G42" s="9" t="str">
        <f>"海南热带海洋学院"</f>
        <v>海南热带海洋学院</v>
      </c>
      <c r="H42" s="9" t="str">
        <f>"大学本科学历工学学士学位"</f>
        <v>大学本科学历工学学士学位</v>
      </c>
      <c r="I42" s="9" t="str">
        <f>"计算机科学与技术"</f>
        <v>计算机科学与技术</v>
      </c>
      <c r="J42" s="15">
        <v>307040213829</v>
      </c>
      <c r="K42" s="16" t="s">
        <v>90</v>
      </c>
      <c r="L42" s="24" t="s">
        <v>91</v>
      </c>
      <c r="M42" s="18" t="s">
        <v>18</v>
      </c>
      <c r="N42" s="19"/>
    </row>
    <row r="43" spans="1:14" ht="49.5" customHeight="1">
      <c r="A43" s="8">
        <v>40</v>
      </c>
      <c r="B43" s="9" t="str">
        <f>"杨体俊"</f>
        <v>杨体俊</v>
      </c>
      <c r="C43" s="9" t="str">
        <f>"男"</f>
        <v>男</v>
      </c>
      <c r="D43" s="9">
        <v>1990.02</v>
      </c>
      <c r="E43" s="9" t="str">
        <f t="shared" si="20"/>
        <v>汉族</v>
      </c>
      <c r="F43" s="9" t="str">
        <f>"群众"</f>
        <v>群众</v>
      </c>
      <c r="G43" s="9" t="str">
        <f>"湖南工业大学"</f>
        <v>湖南工业大学</v>
      </c>
      <c r="H43" s="9" t="str">
        <f>"大学本科学历工学学士学位"</f>
        <v>大学本科学历工学学士学位</v>
      </c>
      <c r="I43" s="9" t="str">
        <f>"土木工程"</f>
        <v>土木工程</v>
      </c>
      <c r="J43" s="15">
        <v>307050215218</v>
      </c>
      <c r="K43" s="16" t="s">
        <v>92</v>
      </c>
      <c r="L43" s="24" t="s">
        <v>93</v>
      </c>
      <c r="M43" s="18" t="s">
        <v>18</v>
      </c>
      <c r="N43" s="19"/>
    </row>
    <row r="44" spans="1:14" ht="49.5" customHeight="1">
      <c r="A44" s="8">
        <v>41</v>
      </c>
      <c r="B44" s="9" t="str">
        <f>"吴愉"</f>
        <v>吴愉</v>
      </c>
      <c r="C44" s="9" t="str">
        <f t="shared" si="21"/>
        <v>女</v>
      </c>
      <c r="D44" s="9">
        <v>1996.06</v>
      </c>
      <c r="E44" s="9" t="str">
        <f t="shared" si="20"/>
        <v>汉族</v>
      </c>
      <c r="F44" s="9" t="str">
        <f aca="true" t="shared" si="22" ref="F44:F48">"共青团员"</f>
        <v>共青团员</v>
      </c>
      <c r="G44" s="9" t="str">
        <f>"上海立信会计金融学院"</f>
        <v>上海立信会计金融学院</v>
      </c>
      <c r="H44" s="9" t="str">
        <f>"大学本科学历管理学学士学位"</f>
        <v>大学本科学历管理学学士学位</v>
      </c>
      <c r="I44" s="9" t="str">
        <f>"审计学"</f>
        <v>审计学</v>
      </c>
      <c r="J44" s="15">
        <v>307060102013</v>
      </c>
      <c r="K44" s="16" t="s">
        <v>94</v>
      </c>
      <c r="L44" s="24" t="s">
        <v>95</v>
      </c>
      <c r="M44" s="18" t="s">
        <v>18</v>
      </c>
      <c r="N44" s="19"/>
    </row>
    <row r="45" spans="1:14" ht="49.5" customHeight="1">
      <c r="A45" s="8">
        <v>42</v>
      </c>
      <c r="B45" s="9" t="str">
        <f>"黎桂柳"</f>
        <v>黎桂柳</v>
      </c>
      <c r="C45" s="9" t="str">
        <f t="shared" si="21"/>
        <v>女</v>
      </c>
      <c r="D45" s="9">
        <v>1999.07</v>
      </c>
      <c r="E45" s="9" t="str">
        <f t="shared" si="20"/>
        <v>汉族</v>
      </c>
      <c r="F45" s="9" t="str">
        <f t="shared" si="22"/>
        <v>共青团员</v>
      </c>
      <c r="G45" s="9" t="str">
        <f>"海南热带海洋学院"</f>
        <v>海南热带海洋学院</v>
      </c>
      <c r="H45" s="9" t="str">
        <f>"大学本科学历管理学学士学位"</f>
        <v>大学本科学历管理学学士学位</v>
      </c>
      <c r="I45" s="9" t="str">
        <f>"财务管理"</f>
        <v>财务管理</v>
      </c>
      <c r="J45" s="15">
        <v>307060102622</v>
      </c>
      <c r="K45" s="16" t="s">
        <v>96</v>
      </c>
      <c r="L45" s="24" t="s">
        <v>95</v>
      </c>
      <c r="M45" s="18" t="s">
        <v>18</v>
      </c>
      <c r="N45" s="19"/>
    </row>
    <row r="46" spans="1:14" ht="49.5" customHeight="1">
      <c r="A46" s="8">
        <v>43</v>
      </c>
      <c r="B46" s="9" t="str">
        <f>"王育仙"</f>
        <v>王育仙</v>
      </c>
      <c r="C46" s="9" t="str">
        <f t="shared" si="21"/>
        <v>女</v>
      </c>
      <c r="D46" s="9">
        <v>1998.06</v>
      </c>
      <c r="E46" s="9" t="str">
        <f t="shared" si="20"/>
        <v>汉族</v>
      </c>
      <c r="F46" s="9" t="str">
        <f t="shared" si="22"/>
        <v>共青团员</v>
      </c>
      <c r="G46" s="9" t="str">
        <f aca="true" t="shared" si="23" ref="G46:G49">"三亚学院"</f>
        <v>三亚学院</v>
      </c>
      <c r="H46" s="9" t="str">
        <f>"大学本科学历管理学学士学位"</f>
        <v>大学本科学历管理学学士学位</v>
      </c>
      <c r="I46" s="9" t="str">
        <f>"会计学专业"</f>
        <v>会计学专业</v>
      </c>
      <c r="J46" s="15">
        <v>308010100710</v>
      </c>
      <c r="K46" s="16" t="s">
        <v>97</v>
      </c>
      <c r="L46" s="24" t="s">
        <v>98</v>
      </c>
      <c r="M46" s="18" t="s">
        <v>18</v>
      </c>
      <c r="N46" s="19"/>
    </row>
    <row r="47" spans="1:14" ht="49.5" customHeight="1">
      <c r="A47" s="8">
        <v>44</v>
      </c>
      <c r="B47" s="9" t="str">
        <f>"何松洋"</f>
        <v>何松洋</v>
      </c>
      <c r="C47" s="9" t="str">
        <f aca="true" t="shared" si="24" ref="C47:C53">"男"</f>
        <v>男</v>
      </c>
      <c r="D47" s="9">
        <v>1998.12</v>
      </c>
      <c r="E47" s="9" t="str">
        <f t="shared" si="20"/>
        <v>汉族</v>
      </c>
      <c r="F47" s="9" t="str">
        <f t="shared" si="22"/>
        <v>共青团员</v>
      </c>
      <c r="G47" s="9" t="str">
        <f t="shared" si="23"/>
        <v>三亚学院</v>
      </c>
      <c r="H47" s="9" t="str">
        <f>"大学本科学历工学学士学位"</f>
        <v>大学本科学历工学学士学位</v>
      </c>
      <c r="I47" s="9" t="str">
        <f>"通信工程"</f>
        <v>通信工程</v>
      </c>
      <c r="J47" s="15">
        <v>308020212620</v>
      </c>
      <c r="K47" s="16" t="s">
        <v>99</v>
      </c>
      <c r="L47" s="24" t="s">
        <v>100</v>
      </c>
      <c r="M47" s="18" t="s">
        <v>18</v>
      </c>
      <c r="N47" s="19"/>
    </row>
    <row r="48" spans="1:14" ht="49.5" customHeight="1">
      <c r="A48" s="8">
        <v>45</v>
      </c>
      <c r="B48" s="9" t="str">
        <f>"曾令慧"</f>
        <v>曾令慧</v>
      </c>
      <c r="C48" s="9" t="str">
        <f>"女"</f>
        <v>女</v>
      </c>
      <c r="D48" s="11">
        <v>2000.1</v>
      </c>
      <c r="E48" s="9" t="str">
        <f>"黎族"</f>
        <v>黎族</v>
      </c>
      <c r="F48" s="9" t="str">
        <f t="shared" si="22"/>
        <v>共青团员</v>
      </c>
      <c r="G48" s="9" t="str">
        <f>"中南民族大学"</f>
        <v>中南民族大学</v>
      </c>
      <c r="H48" s="9" t="str">
        <f>"大学本科学历理学学士学位"</f>
        <v>大学本科学历理学学士学位</v>
      </c>
      <c r="I48" s="9" t="str">
        <f>"应用统计学"</f>
        <v>应用统计学</v>
      </c>
      <c r="J48" s="15">
        <v>308020213826</v>
      </c>
      <c r="K48" s="16" t="s">
        <v>101</v>
      </c>
      <c r="L48" s="24" t="s">
        <v>100</v>
      </c>
      <c r="M48" s="18" t="s">
        <v>18</v>
      </c>
      <c r="N48" s="19"/>
    </row>
    <row r="49" spans="1:14" ht="49.5" customHeight="1">
      <c r="A49" s="8">
        <v>46</v>
      </c>
      <c r="B49" s="9" t="str">
        <f>"曾维梓"</f>
        <v>曾维梓</v>
      </c>
      <c r="C49" s="9" t="str">
        <f t="shared" si="24"/>
        <v>男</v>
      </c>
      <c r="D49" s="9">
        <v>1999.06</v>
      </c>
      <c r="E49" s="9" t="str">
        <f aca="true" t="shared" si="25" ref="E46:E50">"汉族"</f>
        <v>汉族</v>
      </c>
      <c r="F49" s="9" t="str">
        <f aca="true" t="shared" si="26" ref="F49:F53">"群众"</f>
        <v>群众</v>
      </c>
      <c r="G49" s="9" t="str">
        <f t="shared" si="23"/>
        <v>三亚学院</v>
      </c>
      <c r="H49" s="9" t="str">
        <f>"大学本科学历法学学士学位"</f>
        <v>大学本科学历法学学士学位</v>
      </c>
      <c r="I49" s="9" t="str">
        <f>"法学"</f>
        <v>法学</v>
      </c>
      <c r="J49" s="15">
        <v>308040106029</v>
      </c>
      <c r="K49" s="16" t="s">
        <v>102</v>
      </c>
      <c r="L49" s="24" t="s">
        <v>103</v>
      </c>
      <c r="M49" s="18" t="s">
        <v>18</v>
      </c>
      <c r="N49" s="19"/>
    </row>
    <row r="50" spans="1:14" ht="49.5" customHeight="1">
      <c r="A50" s="8">
        <v>47</v>
      </c>
      <c r="B50" s="9" t="str">
        <f>"冯煜泷"</f>
        <v>冯煜泷</v>
      </c>
      <c r="C50" s="9" t="str">
        <f t="shared" si="24"/>
        <v>男</v>
      </c>
      <c r="D50" s="9">
        <v>2000.07</v>
      </c>
      <c r="E50" s="9" t="str">
        <f t="shared" si="25"/>
        <v>汉族</v>
      </c>
      <c r="F50" s="9" t="str">
        <f>"共青团员"</f>
        <v>共青团员</v>
      </c>
      <c r="G50" s="9" t="str">
        <f>"海南热带海洋学院"</f>
        <v>海南热带海洋学院</v>
      </c>
      <c r="H50" s="9" t="str">
        <f>"大学本科学历农学学士学位"</f>
        <v>大学本科学历农学学士学位</v>
      </c>
      <c r="I50" s="9" t="str">
        <f>"园艺专业"</f>
        <v>园艺专业</v>
      </c>
      <c r="J50" s="15">
        <v>308050111920</v>
      </c>
      <c r="K50" s="16" t="s">
        <v>104</v>
      </c>
      <c r="L50" s="24" t="s">
        <v>105</v>
      </c>
      <c r="M50" s="18" t="s">
        <v>18</v>
      </c>
      <c r="N50" s="19"/>
    </row>
    <row r="51" spans="1:14" ht="49.5" customHeight="1">
      <c r="A51" s="8">
        <v>48</v>
      </c>
      <c r="B51" s="9" t="str">
        <f>"王寰柱"</f>
        <v>王寰柱</v>
      </c>
      <c r="C51" s="9" t="str">
        <f t="shared" si="24"/>
        <v>男</v>
      </c>
      <c r="D51" s="9">
        <v>1989.11</v>
      </c>
      <c r="E51" s="9" t="str">
        <f>"黎族"</f>
        <v>黎族</v>
      </c>
      <c r="F51" s="9" t="str">
        <f t="shared" si="26"/>
        <v>群众</v>
      </c>
      <c r="G51" s="9" t="str">
        <f>"海南师范大学"</f>
        <v>海南师范大学</v>
      </c>
      <c r="H51" s="9" t="str">
        <f>"大学本科学历文学学士学位"</f>
        <v>大学本科学历文学学士学位</v>
      </c>
      <c r="I51" s="9" t="str">
        <f>"汉语言文学"</f>
        <v>汉语言文学</v>
      </c>
      <c r="J51" s="15">
        <v>308060108913</v>
      </c>
      <c r="K51" s="16" t="s">
        <v>106</v>
      </c>
      <c r="L51" s="24" t="s">
        <v>107</v>
      </c>
      <c r="M51" s="18" t="s">
        <v>18</v>
      </c>
      <c r="N51" s="19"/>
    </row>
    <row r="52" spans="1:14" ht="49.5" customHeight="1">
      <c r="A52" s="8">
        <v>49</v>
      </c>
      <c r="B52" s="9" t="str">
        <f>"吴育大"</f>
        <v>吴育大</v>
      </c>
      <c r="C52" s="9" t="str">
        <f t="shared" si="24"/>
        <v>男</v>
      </c>
      <c r="D52" s="9">
        <v>1987.07</v>
      </c>
      <c r="E52" s="9" t="str">
        <f aca="true" t="shared" si="27" ref="E52:E57">"汉族"</f>
        <v>汉族</v>
      </c>
      <c r="F52" s="9" t="str">
        <f>"中共党员"</f>
        <v>中共党员</v>
      </c>
      <c r="G52" s="9" t="str">
        <f>"百色学院"</f>
        <v>百色学院</v>
      </c>
      <c r="H52" s="9" t="str">
        <f>"大学本科学历管理学学士学位"</f>
        <v>大学本科学历管理学学士学位</v>
      </c>
      <c r="I52" s="9" t="str">
        <f>"工程管理（造价管理）"</f>
        <v>工程管理（造价管理）</v>
      </c>
      <c r="J52" s="20">
        <v>309010217010</v>
      </c>
      <c r="K52" s="25" t="s">
        <v>108</v>
      </c>
      <c r="L52" s="24" t="s">
        <v>109</v>
      </c>
      <c r="M52" s="18" t="s">
        <v>18</v>
      </c>
      <c r="N52" s="19"/>
    </row>
    <row r="53" spans="1:14" ht="49.5" customHeight="1">
      <c r="A53" s="8">
        <v>50</v>
      </c>
      <c r="B53" s="9" t="str">
        <f>"耿石永"</f>
        <v>耿石永</v>
      </c>
      <c r="C53" s="9" t="str">
        <f t="shared" si="24"/>
        <v>男</v>
      </c>
      <c r="D53" s="9">
        <v>1987.12</v>
      </c>
      <c r="E53" s="9" t="str">
        <f t="shared" si="27"/>
        <v>汉族</v>
      </c>
      <c r="F53" s="9" t="str">
        <f t="shared" si="26"/>
        <v>群众</v>
      </c>
      <c r="G53" s="9" t="str">
        <f>"石家庄铁道大学"</f>
        <v>石家庄铁道大学</v>
      </c>
      <c r="H53" s="9" t="str">
        <f>"大学本科学历工学学士学位"</f>
        <v>大学本科学历工学学士学位</v>
      </c>
      <c r="I53" s="9" t="str">
        <f>"无机非金属材料工程"</f>
        <v>无机非金属材料工程</v>
      </c>
      <c r="J53" s="15">
        <v>309020110713</v>
      </c>
      <c r="K53" s="16" t="s">
        <v>110</v>
      </c>
      <c r="L53" s="24" t="s">
        <v>111</v>
      </c>
      <c r="M53" s="18" t="s">
        <v>18</v>
      </c>
      <c r="N53" s="19"/>
    </row>
    <row r="54" spans="1:14" ht="49.5" customHeight="1">
      <c r="A54" s="8">
        <v>51</v>
      </c>
      <c r="B54" s="9" t="str">
        <f>"陈碧荣"</f>
        <v>陈碧荣</v>
      </c>
      <c r="C54" s="9" t="str">
        <f aca="true" t="shared" si="28" ref="C54:C56">"女"</f>
        <v>女</v>
      </c>
      <c r="D54" s="9">
        <v>2000.01</v>
      </c>
      <c r="E54" s="9" t="str">
        <f t="shared" si="27"/>
        <v>汉族</v>
      </c>
      <c r="F54" s="9" t="str">
        <f>"中共党员"</f>
        <v>中共党员</v>
      </c>
      <c r="G54" s="9" t="str">
        <f>"天津财经大学"</f>
        <v>天津财经大学</v>
      </c>
      <c r="H54" s="9" t="str">
        <f>"大学本科学历法学学士学位"</f>
        <v>大学本科学历法学学士学位</v>
      </c>
      <c r="I54" s="9" t="str">
        <f>"法学"</f>
        <v>法学</v>
      </c>
      <c r="J54" s="15">
        <v>309030105522</v>
      </c>
      <c r="K54" s="16" t="s">
        <v>112</v>
      </c>
      <c r="L54" s="24" t="s">
        <v>113</v>
      </c>
      <c r="M54" s="18" t="s">
        <v>18</v>
      </c>
      <c r="N54" s="19"/>
    </row>
    <row r="55" spans="1:14" ht="49.5" customHeight="1">
      <c r="A55" s="8">
        <v>52</v>
      </c>
      <c r="B55" s="9" t="str">
        <f>"孔晨露"</f>
        <v>孔晨露</v>
      </c>
      <c r="C55" s="9" t="str">
        <f t="shared" si="28"/>
        <v>女</v>
      </c>
      <c r="D55" s="11">
        <v>1996.1</v>
      </c>
      <c r="E55" s="9" t="str">
        <f t="shared" si="27"/>
        <v>汉族</v>
      </c>
      <c r="F55" s="9" t="str">
        <f aca="true" t="shared" si="29" ref="F55:F59">"群众"</f>
        <v>群众</v>
      </c>
      <c r="G55" s="9" t="str">
        <f>"郑州航空工业管理学院"</f>
        <v>郑州航空工业管理学院</v>
      </c>
      <c r="H55" s="9" t="str">
        <f>"大学本科学历工学学士学位"</f>
        <v>大学本科学历工学学士学位</v>
      </c>
      <c r="I55" s="9" t="str">
        <f>"计算机科学与技术"</f>
        <v>计算机科学与技术</v>
      </c>
      <c r="J55" s="15">
        <v>309040214406</v>
      </c>
      <c r="K55" s="16" t="s">
        <v>114</v>
      </c>
      <c r="L55" s="24" t="s">
        <v>115</v>
      </c>
      <c r="M55" s="18" t="s">
        <v>18</v>
      </c>
      <c r="N55" s="19"/>
    </row>
    <row r="56" spans="1:14" ht="49.5" customHeight="1">
      <c r="A56" s="8">
        <v>53</v>
      </c>
      <c r="B56" s="9" t="str">
        <f>"梁楠"</f>
        <v>梁楠</v>
      </c>
      <c r="C56" s="9" t="str">
        <f t="shared" si="28"/>
        <v>女</v>
      </c>
      <c r="D56" s="9">
        <v>1999.12</v>
      </c>
      <c r="E56" s="9" t="str">
        <f t="shared" si="27"/>
        <v>汉族</v>
      </c>
      <c r="F56" s="9" t="str">
        <f aca="true" t="shared" si="30" ref="F56:F61">"共青团员"</f>
        <v>共青团员</v>
      </c>
      <c r="G56" s="9" t="str">
        <f>"海南大学"</f>
        <v>海南大学</v>
      </c>
      <c r="H56" s="9" t="str">
        <f>"大学本科学历管理学学士学位"</f>
        <v>大学本科学历管理学学士学位</v>
      </c>
      <c r="I56" s="9" t="str">
        <f>"工商管理"</f>
        <v>工商管理</v>
      </c>
      <c r="J56" s="15">
        <v>309050100911</v>
      </c>
      <c r="K56" s="16" t="s">
        <v>116</v>
      </c>
      <c r="L56" s="24" t="s">
        <v>117</v>
      </c>
      <c r="M56" s="18" t="s">
        <v>18</v>
      </c>
      <c r="N56" s="19"/>
    </row>
    <row r="57" spans="1:14" ht="49.5" customHeight="1">
      <c r="A57" s="8">
        <v>54</v>
      </c>
      <c r="B57" s="9" t="str">
        <f>"曾繁记"</f>
        <v>曾繁记</v>
      </c>
      <c r="C57" s="9" t="str">
        <f aca="true" t="shared" si="31" ref="C57:C59">"男"</f>
        <v>男</v>
      </c>
      <c r="D57" s="9">
        <v>1996.04</v>
      </c>
      <c r="E57" s="9" t="str">
        <f t="shared" si="27"/>
        <v>汉族</v>
      </c>
      <c r="F57" s="9" t="str">
        <f t="shared" si="30"/>
        <v>共青团员</v>
      </c>
      <c r="G57" s="9" t="str">
        <f>"长春建筑学院"</f>
        <v>长春建筑学院</v>
      </c>
      <c r="H57" s="9" t="str">
        <f>"大学本科学历工学学士学位"</f>
        <v>大学本科学历工学学士学位</v>
      </c>
      <c r="I57" s="9" t="str">
        <f>"建筑学"</f>
        <v>建筑学</v>
      </c>
      <c r="J57" s="15">
        <v>309060217413</v>
      </c>
      <c r="K57" s="16" t="s">
        <v>118</v>
      </c>
      <c r="L57" s="24" t="s">
        <v>119</v>
      </c>
      <c r="M57" s="18" t="s">
        <v>18</v>
      </c>
      <c r="N57" s="19"/>
    </row>
    <row r="58" spans="1:14" ht="49.5" customHeight="1">
      <c r="A58" s="8">
        <v>55</v>
      </c>
      <c r="B58" s="9" t="str">
        <f>"司家深"</f>
        <v>司家深</v>
      </c>
      <c r="C58" s="9" t="str">
        <f t="shared" si="31"/>
        <v>男</v>
      </c>
      <c r="D58" s="11">
        <v>1987.1</v>
      </c>
      <c r="E58" s="9" t="s">
        <v>120</v>
      </c>
      <c r="F58" s="9" t="str">
        <f t="shared" si="29"/>
        <v>群众</v>
      </c>
      <c r="G58" s="9" t="str">
        <f>"琼州学院"</f>
        <v>琼州学院</v>
      </c>
      <c r="H58" s="9" t="str">
        <f>"大学本科学历"</f>
        <v>大学本科学历</v>
      </c>
      <c r="I58" s="9" t="str">
        <f>"计算机科学与技术"</f>
        <v>计算机科学与技术</v>
      </c>
      <c r="J58" s="15">
        <v>310010213506</v>
      </c>
      <c r="K58" s="16" t="s">
        <v>121</v>
      </c>
      <c r="L58" s="24" t="s">
        <v>122</v>
      </c>
      <c r="M58" s="18" t="s">
        <v>18</v>
      </c>
      <c r="N58" s="19"/>
    </row>
    <row r="59" spans="1:14" ht="49.5" customHeight="1">
      <c r="A59" s="8">
        <v>56</v>
      </c>
      <c r="B59" s="9" t="str">
        <f>"邢福宜"</f>
        <v>邢福宜</v>
      </c>
      <c r="C59" s="9" t="str">
        <f t="shared" si="31"/>
        <v>男</v>
      </c>
      <c r="D59" s="9">
        <v>1992.07</v>
      </c>
      <c r="E59" s="9" t="str">
        <f aca="true" t="shared" si="32" ref="E59:E64">"汉族"</f>
        <v>汉族</v>
      </c>
      <c r="F59" s="9" t="str">
        <f t="shared" si="29"/>
        <v>群众</v>
      </c>
      <c r="G59" s="9" t="str">
        <f>"北方民族大学"</f>
        <v>北方民族大学</v>
      </c>
      <c r="H59" s="9" t="str">
        <f>"大学本科学历文学学士学位"</f>
        <v>大学本科学历文学学士学位</v>
      </c>
      <c r="I59" s="9" t="str">
        <f>"汉语言文学"</f>
        <v>汉语言文学</v>
      </c>
      <c r="J59" s="22">
        <v>310020109017</v>
      </c>
      <c r="K59" s="25" t="s">
        <v>123</v>
      </c>
      <c r="L59" s="24" t="s">
        <v>124</v>
      </c>
      <c r="M59" s="18" t="s">
        <v>18</v>
      </c>
      <c r="N59" s="19"/>
    </row>
    <row r="60" spans="1:14" ht="49.5" customHeight="1">
      <c r="A60" s="8">
        <v>57</v>
      </c>
      <c r="B60" s="9" t="str">
        <f>"李丹"</f>
        <v>李丹</v>
      </c>
      <c r="C60" s="9" t="str">
        <f aca="true" t="shared" si="33" ref="C60:C62">"女"</f>
        <v>女</v>
      </c>
      <c r="D60" s="9">
        <v>1998.07</v>
      </c>
      <c r="E60" s="9" t="str">
        <f t="shared" si="32"/>
        <v>汉族</v>
      </c>
      <c r="F60" s="9" t="str">
        <f t="shared" si="30"/>
        <v>共青团员</v>
      </c>
      <c r="G60" s="9" t="str">
        <f>"海南师范大学"</f>
        <v>海南师范大学</v>
      </c>
      <c r="H60" s="9" t="str">
        <f>"大学本科学历文学学士学位"</f>
        <v>大学本科学历文学学士学位</v>
      </c>
      <c r="I60" s="9" t="str">
        <f>"新闻学"</f>
        <v>新闻学</v>
      </c>
      <c r="J60" s="15">
        <v>310020109327</v>
      </c>
      <c r="K60" s="16" t="s">
        <v>125</v>
      </c>
      <c r="L60" s="24" t="s">
        <v>124</v>
      </c>
      <c r="M60" s="18" t="s">
        <v>18</v>
      </c>
      <c r="N60" s="19"/>
    </row>
    <row r="61" spans="1:14" ht="49.5" customHeight="1">
      <c r="A61" s="8">
        <v>58</v>
      </c>
      <c r="B61" s="9" t="str">
        <f>"林月丹"</f>
        <v>林月丹</v>
      </c>
      <c r="C61" s="9" t="str">
        <f t="shared" si="33"/>
        <v>女</v>
      </c>
      <c r="D61" s="9">
        <v>1999.11</v>
      </c>
      <c r="E61" s="9" t="str">
        <f t="shared" si="32"/>
        <v>汉族</v>
      </c>
      <c r="F61" s="9" t="str">
        <f t="shared" si="30"/>
        <v>共青团员</v>
      </c>
      <c r="G61" s="9" t="str">
        <f>"海南大学"</f>
        <v>海南大学</v>
      </c>
      <c r="H61" s="9" t="str">
        <f>"大学本科学历法学学士学位"</f>
        <v>大学本科学历法学学士学位</v>
      </c>
      <c r="I61" s="9" t="str">
        <f>"法学"</f>
        <v>法学</v>
      </c>
      <c r="J61" s="15">
        <v>311010106612</v>
      </c>
      <c r="K61" s="16" t="s">
        <v>126</v>
      </c>
      <c r="L61" s="24" t="s">
        <v>127</v>
      </c>
      <c r="M61" s="18" t="s">
        <v>18</v>
      </c>
      <c r="N61" s="19"/>
    </row>
    <row r="62" spans="1:14" ht="49.5" customHeight="1">
      <c r="A62" s="8">
        <v>59</v>
      </c>
      <c r="B62" s="9" t="str">
        <f>"李静"</f>
        <v>李静</v>
      </c>
      <c r="C62" s="9" t="str">
        <f t="shared" si="33"/>
        <v>女</v>
      </c>
      <c r="D62" s="9">
        <v>1999.06</v>
      </c>
      <c r="E62" s="9" t="str">
        <f t="shared" si="32"/>
        <v>汉族</v>
      </c>
      <c r="F62" s="9" t="str">
        <f>"中共党员"</f>
        <v>中共党员</v>
      </c>
      <c r="G62" s="9" t="str">
        <f>"琼台师范学院"</f>
        <v>琼台师范学院</v>
      </c>
      <c r="H62" s="9" t="str">
        <f>"大学本科学历工学学士学位"</f>
        <v>大学本科学历工学学士学位</v>
      </c>
      <c r="I62" s="9" t="str">
        <f>"计算机科学与技术"</f>
        <v>计算机科学与技术</v>
      </c>
      <c r="J62" s="15">
        <v>311040213606</v>
      </c>
      <c r="K62" s="16" t="s">
        <v>128</v>
      </c>
      <c r="L62" s="24" t="s">
        <v>129</v>
      </c>
      <c r="M62" s="18" t="s">
        <v>18</v>
      </c>
      <c r="N62" s="19"/>
    </row>
    <row r="63" spans="1:14" ht="49.5" customHeight="1">
      <c r="A63" s="8">
        <v>60</v>
      </c>
      <c r="B63" s="9" t="str">
        <f>"陈绵琛"</f>
        <v>陈绵琛</v>
      </c>
      <c r="C63" s="9" t="str">
        <f aca="true" t="shared" si="34" ref="C63:C67">"男"</f>
        <v>男</v>
      </c>
      <c r="D63" s="9">
        <v>1996.06</v>
      </c>
      <c r="E63" s="9" t="str">
        <f t="shared" si="32"/>
        <v>汉族</v>
      </c>
      <c r="F63" s="9" t="str">
        <f aca="true" t="shared" si="35" ref="F63:F69">"群众"</f>
        <v>群众</v>
      </c>
      <c r="G63" s="9" t="str">
        <f>"海口经济学院"</f>
        <v>海口经济学院</v>
      </c>
      <c r="H63" s="9" t="str">
        <f>"大学本科学历管理学学士学位"</f>
        <v>大学本科学历管理学学士学位</v>
      </c>
      <c r="I63" s="9" t="str">
        <f>"工程管理"</f>
        <v>工程管理</v>
      </c>
      <c r="J63" s="15">
        <v>311050215030</v>
      </c>
      <c r="K63" s="16" t="s">
        <v>130</v>
      </c>
      <c r="L63" s="24" t="s">
        <v>131</v>
      </c>
      <c r="M63" s="18" t="s">
        <v>18</v>
      </c>
      <c r="N63" s="19"/>
    </row>
    <row r="64" spans="1:14" ht="49.5" customHeight="1">
      <c r="A64" s="8">
        <v>61</v>
      </c>
      <c r="B64" s="9" t="str">
        <f>"洪民侦"</f>
        <v>洪民侦</v>
      </c>
      <c r="C64" s="9" t="str">
        <f t="shared" si="34"/>
        <v>男</v>
      </c>
      <c r="D64" s="9">
        <v>1996.01</v>
      </c>
      <c r="E64" s="9" t="str">
        <f t="shared" si="32"/>
        <v>汉族</v>
      </c>
      <c r="F64" s="9" t="str">
        <f>"共青团员"</f>
        <v>共青团员</v>
      </c>
      <c r="G64" s="9" t="str">
        <f>"国家开放大学"</f>
        <v>国家开放大学</v>
      </c>
      <c r="H64" s="9" t="str">
        <f>"大学本科学历"</f>
        <v>大学本科学历</v>
      </c>
      <c r="I64" s="9" t="str">
        <f>"土木工程"</f>
        <v>土木工程</v>
      </c>
      <c r="J64" s="15">
        <v>312010216821</v>
      </c>
      <c r="K64" s="16" t="s">
        <v>132</v>
      </c>
      <c r="L64" s="24" t="s">
        <v>133</v>
      </c>
      <c r="M64" s="18" t="s">
        <v>18</v>
      </c>
      <c r="N64" s="19"/>
    </row>
    <row r="65" spans="1:14" ht="49.5" customHeight="1">
      <c r="A65" s="8">
        <v>62</v>
      </c>
      <c r="B65" s="9" t="str">
        <f>"薛文亮"</f>
        <v>薛文亮</v>
      </c>
      <c r="C65" s="9" t="str">
        <f t="shared" si="34"/>
        <v>男</v>
      </c>
      <c r="D65" s="9">
        <v>1993.12</v>
      </c>
      <c r="E65" s="9" t="s">
        <v>120</v>
      </c>
      <c r="F65" s="9" t="str">
        <f>"共青团员"</f>
        <v>共青团员</v>
      </c>
      <c r="G65" s="9" t="str">
        <f>"河南工业大学"</f>
        <v>河南工业大学</v>
      </c>
      <c r="H65" s="9" t="str">
        <f>"大学本科学历"</f>
        <v>大学本科学历</v>
      </c>
      <c r="I65" s="9" t="str">
        <f>"过程装备与控制工程"</f>
        <v>过程装备与控制工程</v>
      </c>
      <c r="J65" s="15">
        <v>312020109828</v>
      </c>
      <c r="K65" s="16" t="s">
        <v>134</v>
      </c>
      <c r="L65" s="24" t="s">
        <v>135</v>
      </c>
      <c r="M65" s="18" t="s">
        <v>18</v>
      </c>
      <c r="N65" s="19"/>
    </row>
    <row r="66" spans="1:14" ht="49.5" customHeight="1">
      <c r="A66" s="8">
        <v>63</v>
      </c>
      <c r="B66" s="9" t="str">
        <f>"叶长政"</f>
        <v>叶长政</v>
      </c>
      <c r="C66" s="9" t="str">
        <f t="shared" si="34"/>
        <v>男</v>
      </c>
      <c r="D66" s="9">
        <v>1995.05</v>
      </c>
      <c r="E66" s="9" t="str">
        <f aca="true" t="shared" si="36" ref="E63:E71">"汉族"</f>
        <v>汉族</v>
      </c>
      <c r="F66" s="9" t="str">
        <f aca="true" t="shared" si="37" ref="F66:F71">"中共党员"</f>
        <v>中共党员</v>
      </c>
      <c r="G66" s="9" t="str">
        <f>"辽宁财贸学院"</f>
        <v>辽宁财贸学院</v>
      </c>
      <c r="H66" s="9" t="str">
        <f>"大学本科学历"</f>
        <v>大学本科学历</v>
      </c>
      <c r="I66" s="9" t="str">
        <f>"会计学"</f>
        <v>会计学</v>
      </c>
      <c r="J66" s="15">
        <v>312030103722</v>
      </c>
      <c r="K66" s="16" t="s">
        <v>136</v>
      </c>
      <c r="L66" s="24" t="s">
        <v>137</v>
      </c>
      <c r="M66" s="18" t="s">
        <v>18</v>
      </c>
      <c r="N66" s="19"/>
    </row>
    <row r="67" spans="1:14" ht="49.5" customHeight="1">
      <c r="A67" s="8">
        <v>64</v>
      </c>
      <c r="B67" s="9" t="str">
        <f>"钟鸿"</f>
        <v>钟鸿</v>
      </c>
      <c r="C67" s="9" t="str">
        <f t="shared" si="34"/>
        <v>男</v>
      </c>
      <c r="D67" s="11">
        <v>1992.1</v>
      </c>
      <c r="E67" s="9" t="str">
        <f t="shared" si="36"/>
        <v>汉族</v>
      </c>
      <c r="F67" s="9" t="str">
        <f t="shared" si="35"/>
        <v>群众</v>
      </c>
      <c r="G67" s="9" t="str">
        <f>"湖南科技大学"</f>
        <v>湖南科技大学</v>
      </c>
      <c r="H67" s="9" t="str">
        <f>"大学本科学历理学学士学位"</f>
        <v>大学本科学历理学学士学位</v>
      </c>
      <c r="I67" s="9" t="str">
        <f>"电子信息科学与技术"</f>
        <v>电子信息科学与技术</v>
      </c>
      <c r="J67" s="15">
        <v>312040213609</v>
      </c>
      <c r="K67" s="16" t="s">
        <v>138</v>
      </c>
      <c r="L67" s="24" t="s">
        <v>139</v>
      </c>
      <c r="M67" s="18" t="s">
        <v>18</v>
      </c>
      <c r="N67" s="19"/>
    </row>
    <row r="68" spans="1:14" ht="49.5" customHeight="1">
      <c r="A68" s="8">
        <v>65</v>
      </c>
      <c r="B68" s="9" t="str">
        <f>"王海敏"</f>
        <v>王海敏</v>
      </c>
      <c r="C68" s="9" t="str">
        <f aca="true" t="shared" si="38" ref="C68:C71">"女"</f>
        <v>女</v>
      </c>
      <c r="D68" s="9">
        <v>1991.01</v>
      </c>
      <c r="E68" s="9" t="str">
        <f t="shared" si="36"/>
        <v>汉族</v>
      </c>
      <c r="F68" s="9" t="str">
        <f t="shared" si="35"/>
        <v>群众</v>
      </c>
      <c r="G68" s="9" t="str">
        <f>"云南师范大学"</f>
        <v>云南师范大学</v>
      </c>
      <c r="H68" s="9" t="str">
        <f>"大学本科学历法学学士学位"</f>
        <v>大学本科学历法学学士学位</v>
      </c>
      <c r="I68" s="9" t="str">
        <f>"法学"</f>
        <v>法学</v>
      </c>
      <c r="J68" s="15">
        <v>312050105929</v>
      </c>
      <c r="K68" s="16" t="s">
        <v>140</v>
      </c>
      <c r="L68" s="24" t="s">
        <v>141</v>
      </c>
      <c r="M68" s="18" t="s">
        <v>18</v>
      </c>
      <c r="N68" s="19"/>
    </row>
    <row r="69" spans="1:14" ht="49.5" customHeight="1">
      <c r="A69" s="8">
        <v>66</v>
      </c>
      <c r="B69" s="9" t="str">
        <f>"王丹丹"</f>
        <v>王丹丹</v>
      </c>
      <c r="C69" s="9" t="str">
        <f t="shared" si="38"/>
        <v>女</v>
      </c>
      <c r="D69" s="9">
        <v>1989.09</v>
      </c>
      <c r="E69" s="9" t="str">
        <f t="shared" si="36"/>
        <v>汉族</v>
      </c>
      <c r="F69" s="9" t="str">
        <f t="shared" si="35"/>
        <v>群众</v>
      </c>
      <c r="G69" s="9" t="str">
        <f>"江西科技学院"</f>
        <v>江西科技学院</v>
      </c>
      <c r="H69" s="9" t="str">
        <f>"大学本科学历管理学学士学位"</f>
        <v>大学本科学历管理学学士学位</v>
      </c>
      <c r="I69" s="9" t="str">
        <f>"人力资源管理"</f>
        <v>人力资源管理</v>
      </c>
      <c r="J69" s="15">
        <v>313010107316</v>
      </c>
      <c r="K69" s="16" t="s">
        <v>142</v>
      </c>
      <c r="L69" s="24" t="s">
        <v>143</v>
      </c>
      <c r="M69" s="18" t="s">
        <v>18</v>
      </c>
      <c r="N69" s="19"/>
    </row>
    <row r="70" spans="1:14" ht="49.5" customHeight="1">
      <c r="A70" s="8">
        <v>67</v>
      </c>
      <c r="B70" s="9" t="str">
        <f>"张耀"</f>
        <v>张耀</v>
      </c>
      <c r="C70" s="9" t="str">
        <f aca="true" t="shared" si="39" ref="C70:C74">"男"</f>
        <v>男</v>
      </c>
      <c r="D70" s="9">
        <v>1987.08</v>
      </c>
      <c r="E70" s="9" t="str">
        <f t="shared" si="36"/>
        <v>汉族</v>
      </c>
      <c r="F70" s="9" t="str">
        <f t="shared" si="37"/>
        <v>中共党员</v>
      </c>
      <c r="G70" s="9" t="str">
        <f>"海南师范大学"</f>
        <v>海南师范大学</v>
      </c>
      <c r="H70" s="9" t="str">
        <f>"大学本科学历法学学士学位"</f>
        <v>大学本科学历法学学士学位</v>
      </c>
      <c r="I70" s="9" t="str">
        <f>"法学"</f>
        <v>法学</v>
      </c>
      <c r="J70" s="15">
        <v>313020105720</v>
      </c>
      <c r="K70" s="16" t="s">
        <v>144</v>
      </c>
      <c r="L70" s="24" t="s">
        <v>145</v>
      </c>
      <c r="M70" s="18" t="s">
        <v>18</v>
      </c>
      <c r="N70" s="19"/>
    </row>
    <row r="71" spans="1:14" ht="49.5" customHeight="1">
      <c r="A71" s="8">
        <v>68</v>
      </c>
      <c r="B71" s="9" t="str">
        <f>"邓晶"</f>
        <v>邓晶</v>
      </c>
      <c r="C71" s="9" t="str">
        <f t="shared" si="38"/>
        <v>女</v>
      </c>
      <c r="D71" s="9">
        <v>1993.07</v>
      </c>
      <c r="E71" s="9" t="str">
        <f t="shared" si="36"/>
        <v>汉族</v>
      </c>
      <c r="F71" s="9" t="str">
        <f t="shared" si="37"/>
        <v>中共党员</v>
      </c>
      <c r="G71" s="9" t="str">
        <f>"海南大学"</f>
        <v>海南大学</v>
      </c>
      <c r="H71" s="9" t="str">
        <f>"大学本科学历工学学士学位"</f>
        <v>大学本科学历工学学士学位</v>
      </c>
      <c r="I71" s="9" t="str">
        <f>"风景园林"</f>
        <v>风景园林</v>
      </c>
      <c r="J71" s="15">
        <v>314010111602</v>
      </c>
      <c r="K71" s="16" t="s">
        <v>146</v>
      </c>
      <c r="L71" s="24" t="s">
        <v>147</v>
      </c>
      <c r="M71" s="18" t="s">
        <v>18</v>
      </c>
      <c r="N71" s="19"/>
    </row>
    <row r="72" spans="1:14" ht="49.5" customHeight="1">
      <c r="A72" s="8">
        <v>69</v>
      </c>
      <c r="B72" s="9" t="str">
        <f>"黄宗武"</f>
        <v>黄宗武</v>
      </c>
      <c r="C72" s="9" t="str">
        <f t="shared" si="39"/>
        <v>男</v>
      </c>
      <c r="D72" s="9">
        <v>1995.11</v>
      </c>
      <c r="E72" s="9" t="str">
        <f>"黎族"</f>
        <v>黎族</v>
      </c>
      <c r="F72" s="9" t="str">
        <f>"群众"</f>
        <v>群众</v>
      </c>
      <c r="G72" s="9" t="str">
        <f>"海口经济学院"</f>
        <v>海口经济学院</v>
      </c>
      <c r="H72" s="9" t="str">
        <f>"大学本科学历管理学学士学位"</f>
        <v>大学本科学历管理学学士学位</v>
      </c>
      <c r="I72" s="9" t="str">
        <f>"财务管理"</f>
        <v>财务管理</v>
      </c>
      <c r="J72" s="15">
        <v>314020101026</v>
      </c>
      <c r="K72" s="16" t="s">
        <v>148</v>
      </c>
      <c r="L72" s="24" t="s">
        <v>149</v>
      </c>
      <c r="M72" s="18" t="s">
        <v>18</v>
      </c>
      <c r="N72" s="19"/>
    </row>
    <row r="73" spans="1:14" ht="49.5" customHeight="1">
      <c r="A73" s="8">
        <v>70</v>
      </c>
      <c r="B73" s="9" t="str">
        <f>"王业江"</f>
        <v>王业江</v>
      </c>
      <c r="C73" s="9" t="str">
        <f t="shared" si="39"/>
        <v>男</v>
      </c>
      <c r="D73" s="11">
        <v>1992.1</v>
      </c>
      <c r="E73" s="9" t="str">
        <f>"汉族"</f>
        <v>汉族</v>
      </c>
      <c r="F73" s="9" t="str">
        <f>"群众"</f>
        <v>群众</v>
      </c>
      <c r="G73" s="9" t="str">
        <f>"桂林理工大学"</f>
        <v>桂林理工大学</v>
      </c>
      <c r="H73" s="9" t="str">
        <f>"大学本科学历理学学学位"</f>
        <v>大学本科学历理学学学位</v>
      </c>
      <c r="I73" s="9" t="str">
        <f>"统计学"</f>
        <v>统计学</v>
      </c>
      <c r="J73" s="15">
        <v>314030214622</v>
      </c>
      <c r="K73" s="16" t="s">
        <v>150</v>
      </c>
      <c r="L73" s="24" t="s">
        <v>151</v>
      </c>
      <c r="M73" s="18" t="s">
        <v>18</v>
      </c>
      <c r="N73" s="19"/>
    </row>
    <row r="74" spans="1:14" ht="49.5" customHeight="1">
      <c r="A74" s="8">
        <v>71</v>
      </c>
      <c r="B74" s="9" t="str">
        <f>"李卫涛"</f>
        <v>李卫涛</v>
      </c>
      <c r="C74" s="9" t="str">
        <f t="shared" si="39"/>
        <v>男</v>
      </c>
      <c r="D74" s="9">
        <v>1989.03</v>
      </c>
      <c r="E74" s="9" t="str">
        <f>"汉族"</f>
        <v>汉族</v>
      </c>
      <c r="F74" s="9" t="str">
        <f>"中共党员"</f>
        <v>中共党员</v>
      </c>
      <c r="G74" s="9" t="str">
        <f>"中南林业科技大学"</f>
        <v>中南林业科技大学</v>
      </c>
      <c r="H74" s="9" t="str">
        <f>"大学本科学历工学学士学位"</f>
        <v>大学本科学历工学学士学位</v>
      </c>
      <c r="I74" s="9" t="str">
        <f>"土木工程"</f>
        <v>土木工程</v>
      </c>
      <c r="J74" s="15">
        <v>314040217430</v>
      </c>
      <c r="K74" s="16" t="s">
        <v>152</v>
      </c>
      <c r="L74" s="24" t="s">
        <v>153</v>
      </c>
      <c r="M74" s="18" t="s">
        <v>18</v>
      </c>
      <c r="N74" s="19"/>
    </row>
    <row r="75" spans="1:14" ht="49.5" customHeight="1">
      <c r="A75" s="8">
        <v>72</v>
      </c>
      <c r="B75" s="9" t="str">
        <f>"吴玉娇"</f>
        <v>吴玉娇</v>
      </c>
      <c r="C75" s="9" t="str">
        <f>"女"</f>
        <v>女</v>
      </c>
      <c r="D75" s="9">
        <v>2000.09</v>
      </c>
      <c r="E75" s="9" t="str">
        <f aca="true" t="shared" si="40" ref="E75:E95">"汉族"</f>
        <v>汉族</v>
      </c>
      <c r="F75" s="9" t="str">
        <f aca="true" t="shared" si="41" ref="F75:F79">"共青团员"</f>
        <v>共青团员</v>
      </c>
      <c r="G75" s="9" t="str">
        <f>"海南大学"</f>
        <v>海南大学</v>
      </c>
      <c r="H75" s="9" t="str">
        <f>"大学本科学历管理学学士学位"</f>
        <v>大学本科学历管理学学士学位</v>
      </c>
      <c r="I75" s="9" t="str">
        <f>"会计学"</f>
        <v>会计学</v>
      </c>
      <c r="J75" s="15">
        <v>315020104311</v>
      </c>
      <c r="K75" s="16" t="s">
        <v>154</v>
      </c>
      <c r="L75" s="24" t="s">
        <v>155</v>
      </c>
      <c r="M75" s="18" t="s">
        <v>18</v>
      </c>
      <c r="N75" s="19"/>
    </row>
    <row r="76" spans="1:14" ht="49.5" customHeight="1">
      <c r="A76" s="8">
        <v>73</v>
      </c>
      <c r="B76" s="9" t="str">
        <f>"陈俞蓉"</f>
        <v>陈俞蓉</v>
      </c>
      <c r="C76" s="9" t="str">
        <f>"女"</f>
        <v>女</v>
      </c>
      <c r="D76" s="9">
        <v>1995.03</v>
      </c>
      <c r="E76" s="9" t="str">
        <f t="shared" si="40"/>
        <v>汉族</v>
      </c>
      <c r="F76" s="9" t="str">
        <f t="shared" si="41"/>
        <v>共青团员</v>
      </c>
      <c r="G76" s="9" t="str">
        <f>"中北大学"</f>
        <v>中北大学</v>
      </c>
      <c r="H76" s="9" t="str">
        <f>"大学本科学历工学学士学位"</f>
        <v>大学本科学历工学学士学位</v>
      </c>
      <c r="I76" s="9" t="str">
        <f>"自动化"</f>
        <v>自动化</v>
      </c>
      <c r="J76" s="15">
        <v>315030110716</v>
      </c>
      <c r="K76" s="16" t="s">
        <v>156</v>
      </c>
      <c r="L76" s="24" t="s">
        <v>157</v>
      </c>
      <c r="M76" s="18" t="s">
        <v>18</v>
      </c>
      <c r="N76" s="19"/>
    </row>
    <row r="77" spans="1:14" ht="49.5" customHeight="1">
      <c r="A77" s="8">
        <v>74</v>
      </c>
      <c r="B77" s="9" t="str">
        <f>"刘有丽"</f>
        <v>刘有丽</v>
      </c>
      <c r="C77" s="9" t="str">
        <f>"女"</f>
        <v>女</v>
      </c>
      <c r="D77" s="12" t="s">
        <v>158</v>
      </c>
      <c r="E77" s="9" t="str">
        <f t="shared" si="40"/>
        <v>汉族</v>
      </c>
      <c r="F77" s="9" t="str">
        <f>"中共党员"</f>
        <v>中共党员</v>
      </c>
      <c r="G77" s="9" t="str">
        <f>"海南大学"</f>
        <v>海南大学</v>
      </c>
      <c r="H77" s="9" t="str">
        <f>"大学本科学历工学学士学位"</f>
        <v>大学本科学历工学学士学位</v>
      </c>
      <c r="I77" s="9" t="str">
        <f>"风景园林"</f>
        <v>风景园林</v>
      </c>
      <c r="J77" s="15">
        <v>315040111823</v>
      </c>
      <c r="K77" s="16" t="s">
        <v>159</v>
      </c>
      <c r="L77" s="24" t="s">
        <v>160</v>
      </c>
      <c r="M77" s="18" t="s">
        <v>18</v>
      </c>
      <c r="N77" s="19"/>
    </row>
    <row r="78" spans="1:14" ht="49.5" customHeight="1">
      <c r="A78" s="8">
        <v>75</v>
      </c>
      <c r="B78" s="9" t="str">
        <f>"吴翔"</f>
        <v>吴翔</v>
      </c>
      <c r="C78" s="9" t="str">
        <f aca="true" t="shared" si="42" ref="C78:C81">"男"</f>
        <v>男</v>
      </c>
      <c r="D78" s="12" t="s">
        <v>161</v>
      </c>
      <c r="E78" s="9" t="str">
        <f t="shared" si="40"/>
        <v>汉族</v>
      </c>
      <c r="F78" s="9" t="str">
        <f>"群众"</f>
        <v>群众</v>
      </c>
      <c r="G78" s="9" t="str">
        <f>"北京邮电大学"</f>
        <v>北京邮电大学</v>
      </c>
      <c r="H78" s="9" t="str">
        <f>"大学本科学历工学学士学位"</f>
        <v>大学本科学历工学学士学位</v>
      </c>
      <c r="I78" s="9" t="str">
        <f>"通信工程"</f>
        <v>通信工程</v>
      </c>
      <c r="J78" s="15">
        <v>315050213110</v>
      </c>
      <c r="K78" s="16" t="s">
        <v>162</v>
      </c>
      <c r="L78" s="24" t="s">
        <v>163</v>
      </c>
      <c r="M78" s="18" t="s">
        <v>18</v>
      </c>
      <c r="N78" s="19"/>
    </row>
    <row r="79" spans="1:14" ht="49.5" customHeight="1">
      <c r="A79" s="8">
        <v>76</v>
      </c>
      <c r="B79" s="9" t="str">
        <f>"黄佳斌"</f>
        <v>黄佳斌</v>
      </c>
      <c r="C79" s="9" t="str">
        <f t="shared" si="42"/>
        <v>男</v>
      </c>
      <c r="D79" s="9">
        <v>1999.06</v>
      </c>
      <c r="E79" s="9" t="str">
        <f t="shared" si="40"/>
        <v>汉族</v>
      </c>
      <c r="F79" s="9" t="str">
        <f t="shared" si="41"/>
        <v>共青团员</v>
      </c>
      <c r="G79" s="9" t="str">
        <f>"三亚学院"</f>
        <v>三亚学院</v>
      </c>
      <c r="H79" s="9" t="str">
        <f>"大学本科学历管理学学士学位"</f>
        <v>大学本科学历管理学学士学位</v>
      </c>
      <c r="I79" s="9" t="str">
        <f>"人力资源管理"</f>
        <v>人力资源管理</v>
      </c>
      <c r="J79" s="15">
        <v>315070107121</v>
      </c>
      <c r="K79" s="16" t="s">
        <v>164</v>
      </c>
      <c r="L79" s="24" t="s">
        <v>165</v>
      </c>
      <c r="M79" s="18" t="s">
        <v>18</v>
      </c>
      <c r="N79" s="19"/>
    </row>
    <row r="80" spans="1:14" ht="49.5" customHeight="1">
      <c r="A80" s="8">
        <v>77</v>
      </c>
      <c r="B80" s="9" t="str">
        <f>"谢桔平"</f>
        <v>谢桔平</v>
      </c>
      <c r="C80" s="9" t="str">
        <f t="shared" si="42"/>
        <v>男</v>
      </c>
      <c r="D80" s="9">
        <v>1997.08</v>
      </c>
      <c r="E80" s="9" t="str">
        <f t="shared" si="40"/>
        <v>汉族</v>
      </c>
      <c r="F80" s="9" t="str">
        <f>"预备党员"</f>
        <v>预备党员</v>
      </c>
      <c r="G80" s="9" t="str">
        <f>"南昌工学院"</f>
        <v>南昌工学院</v>
      </c>
      <c r="H80" s="9" t="str">
        <f>"大学本科学历工学学士学位"</f>
        <v>大学本科学历工学学士学位</v>
      </c>
      <c r="I80" s="9" t="str">
        <f>"土木工程"</f>
        <v>土木工程</v>
      </c>
      <c r="J80" s="15">
        <v>316010216506</v>
      </c>
      <c r="K80" s="16" t="s">
        <v>166</v>
      </c>
      <c r="L80" s="24" t="s">
        <v>167</v>
      </c>
      <c r="M80" s="18" t="s">
        <v>18</v>
      </c>
      <c r="N80" s="19"/>
    </row>
    <row r="81" spans="1:14" ht="49.5" customHeight="1">
      <c r="A81" s="8">
        <v>78</v>
      </c>
      <c r="B81" s="9" t="str">
        <f>"张子专"</f>
        <v>张子专</v>
      </c>
      <c r="C81" s="9" t="str">
        <f t="shared" si="42"/>
        <v>男</v>
      </c>
      <c r="D81" s="9">
        <v>2000.02</v>
      </c>
      <c r="E81" s="9" t="str">
        <f t="shared" si="40"/>
        <v>汉族</v>
      </c>
      <c r="F81" s="9" t="str">
        <f>"共青团员"</f>
        <v>共青团员</v>
      </c>
      <c r="G81" s="9" t="str">
        <f>"长春工业大学人文信息学院"</f>
        <v>长春工业大学人文信息学院</v>
      </c>
      <c r="H81" s="9" t="str">
        <f>"大学本科学历工学学士学位"</f>
        <v>大学本科学历工学学士学位</v>
      </c>
      <c r="I81" s="9" t="str">
        <f>"车辆工程"</f>
        <v>车辆工程</v>
      </c>
      <c r="J81" s="15">
        <v>316020110008</v>
      </c>
      <c r="K81" s="16" t="s">
        <v>168</v>
      </c>
      <c r="L81" s="24" t="s">
        <v>169</v>
      </c>
      <c r="M81" s="18" t="s">
        <v>18</v>
      </c>
      <c r="N81" s="19"/>
    </row>
    <row r="82" spans="1:14" ht="49.5" customHeight="1">
      <c r="A82" s="8">
        <v>79</v>
      </c>
      <c r="B82" s="9" t="str">
        <f>"齐凌冰"</f>
        <v>齐凌冰</v>
      </c>
      <c r="C82" s="9" t="str">
        <f>"女"</f>
        <v>女</v>
      </c>
      <c r="D82" s="9">
        <v>1997.12</v>
      </c>
      <c r="E82" s="9" t="str">
        <f t="shared" si="40"/>
        <v>汉族</v>
      </c>
      <c r="F82" s="9" t="str">
        <f>"共青团员"</f>
        <v>共青团员</v>
      </c>
      <c r="G82" s="9" t="str">
        <f>"云南大学滇池学院"</f>
        <v>云南大学滇池学院</v>
      </c>
      <c r="H82" s="9" t="str">
        <f>"大学本科学历汉语言文学学士"</f>
        <v>大学本科学历汉语言文学学士</v>
      </c>
      <c r="I82" s="9" t="str">
        <f>"汉语言文学专业"</f>
        <v>汉语言文学专业</v>
      </c>
      <c r="J82" s="15">
        <v>316030109317</v>
      </c>
      <c r="K82" s="16" t="s">
        <v>170</v>
      </c>
      <c r="L82" s="24" t="s">
        <v>171</v>
      </c>
      <c r="M82" s="18" t="s">
        <v>18</v>
      </c>
      <c r="N82" s="19"/>
    </row>
    <row r="83" spans="1:14" ht="49.5" customHeight="1">
      <c r="A83" s="8">
        <v>80</v>
      </c>
      <c r="B83" s="9" t="str">
        <f>"符玉珏"</f>
        <v>符玉珏</v>
      </c>
      <c r="C83" s="9" t="str">
        <f>"男"</f>
        <v>男</v>
      </c>
      <c r="D83" s="9">
        <v>1999.11</v>
      </c>
      <c r="E83" s="9" t="str">
        <f t="shared" si="40"/>
        <v>汉族</v>
      </c>
      <c r="F83" s="9" t="str">
        <f aca="true" t="shared" si="43" ref="F83:F85">"群众"</f>
        <v>群众</v>
      </c>
      <c r="G83" s="9" t="str">
        <f>"长安大学"</f>
        <v>长安大学</v>
      </c>
      <c r="H83" s="9" t="str">
        <f>"大学本科学历工学学士学位"</f>
        <v>大学本科学历工学学士学位</v>
      </c>
      <c r="I83" s="9" t="str">
        <f>"土木工程"</f>
        <v>土木工程</v>
      </c>
      <c r="J83" s="15">
        <v>317010216823</v>
      </c>
      <c r="K83" s="16" t="s">
        <v>172</v>
      </c>
      <c r="L83" s="24" t="s">
        <v>173</v>
      </c>
      <c r="M83" s="18" t="s">
        <v>18</v>
      </c>
      <c r="N83" s="19"/>
    </row>
    <row r="84" spans="1:14" ht="49.5" customHeight="1">
      <c r="A84" s="8">
        <v>81</v>
      </c>
      <c r="B84" s="9" t="str">
        <f>"陈代炼"</f>
        <v>陈代炼</v>
      </c>
      <c r="C84" s="9" t="str">
        <f>"女"</f>
        <v>女</v>
      </c>
      <c r="D84" s="9">
        <v>1995.08</v>
      </c>
      <c r="E84" s="9" t="str">
        <f t="shared" si="40"/>
        <v>汉族</v>
      </c>
      <c r="F84" s="9" t="str">
        <f t="shared" si="43"/>
        <v>群众</v>
      </c>
      <c r="G84" s="9" t="str">
        <f>"天津商业大学"</f>
        <v>天津商业大学</v>
      </c>
      <c r="H84" s="9" t="str">
        <f>"大学本科学历法学学士学位"</f>
        <v>大学本科学历法学学士学位</v>
      </c>
      <c r="I84" s="9" t="str">
        <f>"法学"</f>
        <v>法学</v>
      </c>
      <c r="J84" s="15">
        <v>317020105603</v>
      </c>
      <c r="K84" s="16" t="s">
        <v>174</v>
      </c>
      <c r="L84" s="24" t="s">
        <v>175</v>
      </c>
      <c r="M84" s="18" t="s">
        <v>18</v>
      </c>
      <c r="N84" s="19"/>
    </row>
    <row r="85" spans="1:14" ht="49.5" customHeight="1">
      <c r="A85" s="8">
        <v>82</v>
      </c>
      <c r="B85" s="9" t="str">
        <f>"陈绵霖"</f>
        <v>陈绵霖</v>
      </c>
      <c r="C85" s="9" t="str">
        <f aca="true" t="shared" si="44" ref="C85:C90">"男"</f>
        <v>男</v>
      </c>
      <c r="D85" s="9">
        <v>1993.02</v>
      </c>
      <c r="E85" s="9" t="str">
        <f t="shared" si="40"/>
        <v>汉族</v>
      </c>
      <c r="F85" s="9" t="str">
        <f t="shared" si="43"/>
        <v>群众</v>
      </c>
      <c r="G85" s="9" t="str">
        <f>"海南大学"</f>
        <v>海南大学</v>
      </c>
      <c r="H85" s="9" t="str">
        <f>"大学本科学历"</f>
        <v>大学本科学历</v>
      </c>
      <c r="I85" s="9" t="str">
        <f>"工商企业管理"</f>
        <v>工商企业管理</v>
      </c>
      <c r="J85" s="15">
        <v>317030103122</v>
      </c>
      <c r="K85" s="16" t="s">
        <v>176</v>
      </c>
      <c r="L85" s="24" t="s">
        <v>177</v>
      </c>
      <c r="M85" s="18" t="s">
        <v>18</v>
      </c>
      <c r="N85" s="19"/>
    </row>
    <row r="86" spans="1:14" ht="49.5" customHeight="1">
      <c r="A86" s="8">
        <v>83</v>
      </c>
      <c r="B86" s="9" t="str">
        <f>"梁业尚"</f>
        <v>梁业尚</v>
      </c>
      <c r="C86" s="9" t="str">
        <f t="shared" si="44"/>
        <v>男</v>
      </c>
      <c r="D86" s="9">
        <v>1992.12</v>
      </c>
      <c r="E86" s="9" t="str">
        <f t="shared" si="40"/>
        <v>汉族</v>
      </c>
      <c r="F86" s="9" t="str">
        <f aca="true" t="shared" si="45" ref="F86:F90">"群众"</f>
        <v>群众</v>
      </c>
      <c r="G86" s="9" t="str">
        <f>"福建农林大学"</f>
        <v>福建农林大学</v>
      </c>
      <c r="H86" s="9" t="str">
        <f>"大学本科学历工学学士学位"</f>
        <v>大学本科学历工学学士学位</v>
      </c>
      <c r="I86" s="9" t="str">
        <f>"风景园林"</f>
        <v>风景园林</v>
      </c>
      <c r="J86" s="15">
        <v>317040111715</v>
      </c>
      <c r="K86" s="16" t="s">
        <v>178</v>
      </c>
      <c r="L86" s="24" t="s">
        <v>179</v>
      </c>
      <c r="M86" s="18" t="s">
        <v>18</v>
      </c>
      <c r="N86" s="19"/>
    </row>
    <row r="87" spans="1:14" ht="49.5" customHeight="1">
      <c r="A87" s="8">
        <v>84</v>
      </c>
      <c r="B87" s="9" t="str">
        <f>"倪嘉余"</f>
        <v>倪嘉余</v>
      </c>
      <c r="C87" s="9" t="str">
        <f t="shared" si="44"/>
        <v>男</v>
      </c>
      <c r="D87" s="12" t="s">
        <v>180</v>
      </c>
      <c r="E87" s="9" t="str">
        <f t="shared" si="40"/>
        <v>汉族</v>
      </c>
      <c r="F87" s="9" t="str">
        <f aca="true" t="shared" si="46" ref="F87:F92">"共青团员"</f>
        <v>共青团员</v>
      </c>
      <c r="G87" s="9" t="str">
        <f>"华北水利水电大学"</f>
        <v>华北水利水电大学</v>
      </c>
      <c r="H87" s="9" t="str">
        <f>"大学本科学历工学学士学位"</f>
        <v>大学本科学历工学学士学位</v>
      </c>
      <c r="I87" s="9" t="str">
        <f>"电子信息科学与技术"</f>
        <v>电子信息科学与技术</v>
      </c>
      <c r="J87" s="15">
        <v>317050212501</v>
      </c>
      <c r="K87" s="16" t="s">
        <v>181</v>
      </c>
      <c r="L87" s="24" t="s">
        <v>182</v>
      </c>
      <c r="M87" s="18" t="s">
        <v>18</v>
      </c>
      <c r="N87" s="19"/>
    </row>
    <row r="88" spans="1:14" ht="49.5" customHeight="1">
      <c r="A88" s="8">
        <v>85</v>
      </c>
      <c r="B88" s="9" t="str">
        <f>"林敬富"</f>
        <v>林敬富</v>
      </c>
      <c r="C88" s="9" t="str">
        <f t="shared" si="44"/>
        <v>男</v>
      </c>
      <c r="D88" s="12" t="s">
        <v>183</v>
      </c>
      <c r="E88" s="9" t="str">
        <f t="shared" si="40"/>
        <v>汉族</v>
      </c>
      <c r="F88" s="9" t="str">
        <f t="shared" si="46"/>
        <v>共青团员</v>
      </c>
      <c r="G88" s="9" t="str">
        <f>"兰州交通大学"</f>
        <v>兰州交通大学</v>
      </c>
      <c r="H88" s="9" t="str">
        <f>"大学本科学历工学学士学位"</f>
        <v>大学本科学历工学学士学位</v>
      </c>
      <c r="I88" s="9" t="str">
        <f>"道路桥梁与渡河工程"</f>
        <v>道路桥梁与渡河工程</v>
      </c>
      <c r="J88" s="15">
        <v>317060215619</v>
      </c>
      <c r="K88" s="16" t="s">
        <v>184</v>
      </c>
      <c r="L88" s="24" t="s">
        <v>185</v>
      </c>
      <c r="M88" s="18" t="s">
        <v>18</v>
      </c>
      <c r="N88" s="19"/>
    </row>
    <row r="89" spans="1:14" ht="49.5" customHeight="1">
      <c r="A89" s="8">
        <v>86</v>
      </c>
      <c r="B89" s="9" t="str">
        <f>"孙云"</f>
        <v>孙云</v>
      </c>
      <c r="C89" s="9" t="str">
        <f t="shared" si="44"/>
        <v>男</v>
      </c>
      <c r="D89" s="12" t="s">
        <v>186</v>
      </c>
      <c r="E89" s="9" t="str">
        <f t="shared" si="40"/>
        <v>汉族</v>
      </c>
      <c r="F89" s="9" t="str">
        <f t="shared" si="45"/>
        <v>群众</v>
      </c>
      <c r="G89" s="9" t="str">
        <f>"延安大学"</f>
        <v>延安大学</v>
      </c>
      <c r="H89" s="9" t="str">
        <f>"大学本科学历工学学士学位"</f>
        <v>大学本科学历工学学士学位</v>
      </c>
      <c r="I89" s="9" t="str">
        <f>"土木工程"</f>
        <v>土木工程</v>
      </c>
      <c r="J89" s="15">
        <v>318010215529</v>
      </c>
      <c r="K89" s="16" t="s">
        <v>187</v>
      </c>
      <c r="L89" s="24" t="s">
        <v>188</v>
      </c>
      <c r="M89" s="18" t="s">
        <v>18</v>
      </c>
      <c r="N89" s="19"/>
    </row>
    <row r="90" spans="1:14" ht="49.5" customHeight="1">
      <c r="A90" s="8">
        <v>87</v>
      </c>
      <c r="B90" s="9" t="str">
        <f>"符俊铭"</f>
        <v>符俊铭</v>
      </c>
      <c r="C90" s="9" t="str">
        <f t="shared" si="44"/>
        <v>男</v>
      </c>
      <c r="D90" s="9">
        <v>1996.08</v>
      </c>
      <c r="E90" s="9" t="str">
        <f t="shared" si="40"/>
        <v>汉族</v>
      </c>
      <c r="F90" s="9" t="str">
        <f t="shared" si="45"/>
        <v>群众</v>
      </c>
      <c r="G90" s="9" t="str">
        <f>"广东白云学院"</f>
        <v>广东白云学院</v>
      </c>
      <c r="H90" s="9" t="str">
        <f>"大学本科学历管理学学士学位"</f>
        <v>大学本科学历管理学学士学位</v>
      </c>
      <c r="I90" s="9" t="str">
        <f>"工程管理"</f>
        <v>工程管理</v>
      </c>
      <c r="J90" s="15">
        <v>318020216301</v>
      </c>
      <c r="K90" s="16" t="s">
        <v>189</v>
      </c>
      <c r="L90" s="24" t="s">
        <v>190</v>
      </c>
      <c r="M90" s="18" t="s">
        <v>18</v>
      </c>
      <c r="N90" s="19"/>
    </row>
    <row r="91" spans="1:14" ht="49.5" customHeight="1">
      <c r="A91" s="8">
        <v>88</v>
      </c>
      <c r="B91" s="9" t="str">
        <f>"符公日"</f>
        <v>符公日</v>
      </c>
      <c r="C91" s="9" t="str">
        <f aca="true" t="shared" si="47" ref="C91:C99">"女"</f>
        <v>女</v>
      </c>
      <c r="D91" s="9">
        <v>1988.04</v>
      </c>
      <c r="E91" s="9" t="str">
        <f t="shared" si="40"/>
        <v>汉族</v>
      </c>
      <c r="F91" s="9" t="str">
        <f>"中共党员"</f>
        <v>中共党员</v>
      </c>
      <c r="G91" s="9" t="str">
        <f>"海南师范大学"</f>
        <v>海南师范大学</v>
      </c>
      <c r="H91" s="9" t="str">
        <f>"大学本科学历法学学士学位"</f>
        <v>大学本科学历法学学士学位</v>
      </c>
      <c r="I91" s="9" t="str">
        <f>"思想政治教育"</f>
        <v>思想政治教育</v>
      </c>
      <c r="J91" s="15">
        <v>318030212302</v>
      </c>
      <c r="K91" s="16" t="s">
        <v>191</v>
      </c>
      <c r="L91" s="24" t="s">
        <v>192</v>
      </c>
      <c r="M91" s="18" t="s">
        <v>18</v>
      </c>
      <c r="N91" s="19"/>
    </row>
    <row r="92" spans="1:14" ht="49.5" customHeight="1">
      <c r="A92" s="8">
        <v>89</v>
      </c>
      <c r="B92" s="9" t="str">
        <f>"羊声扬"</f>
        <v>羊声扬</v>
      </c>
      <c r="C92" s="9" t="str">
        <f>"男"</f>
        <v>男</v>
      </c>
      <c r="D92" s="12" t="s">
        <v>180</v>
      </c>
      <c r="E92" s="9" t="str">
        <f t="shared" si="40"/>
        <v>汉族</v>
      </c>
      <c r="F92" s="9" t="str">
        <f t="shared" si="46"/>
        <v>共青团员</v>
      </c>
      <c r="G92" s="9" t="str">
        <f>"海口经济学院"</f>
        <v>海口经济学院</v>
      </c>
      <c r="H92" s="9" t="str">
        <f>"大学本科学历管理学学士学位"</f>
        <v>大学本科学历管理学学士学位</v>
      </c>
      <c r="I92" s="9" t="str">
        <f>"人力资源管理"</f>
        <v>人力资源管理</v>
      </c>
      <c r="J92" s="15">
        <v>318040106917</v>
      </c>
      <c r="K92" s="16" t="s">
        <v>193</v>
      </c>
      <c r="L92" s="24" t="s">
        <v>194</v>
      </c>
      <c r="M92" s="18" t="s">
        <v>18</v>
      </c>
      <c r="N92" s="19"/>
    </row>
    <row r="93" spans="1:14" ht="49.5" customHeight="1">
      <c r="A93" s="8">
        <v>90</v>
      </c>
      <c r="B93" s="9" t="str">
        <f>"张龙"</f>
        <v>张龙</v>
      </c>
      <c r="C93" s="9" t="str">
        <f>"男"</f>
        <v>男</v>
      </c>
      <c r="D93" s="9">
        <v>1993.09</v>
      </c>
      <c r="E93" s="9" t="str">
        <f t="shared" si="40"/>
        <v>汉族</v>
      </c>
      <c r="F93" s="9" t="str">
        <f>"中共党员"</f>
        <v>中共党员</v>
      </c>
      <c r="G93" s="9" t="str">
        <f>"河南省商丘学院"</f>
        <v>河南省商丘学院</v>
      </c>
      <c r="H93" s="9" t="str">
        <f>"大学本科学历工学学士学位"</f>
        <v>大学本科学历工学学士学位</v>
      </c>
      <c r="I93" s="9" t="str">
        <f>"通信工程"</f>
        <v>通信工程</v>
      </c>
      <c r="J93" s="15">
        <v>318050212420</v>
      </c>
      <c r="K93" s="16" t="s">
        <v>195</v>
      </c>
      <c r="L93" s="24" t="s">
        <v>196</v>
      </c>
      <c r="M93" s="18" t="s">
        <v>18</v>
      </c>
      <c r="N93" s="19"/>
    </row>
    <row r="94" spans="1:14" ht="49.5" customHeight="1">
      <c r="A94" s="8">
        <v>91</v>
      </c>
      <c r="B94" s="9" t="str">
        <f>"黎婧婧"</f>
        <v>黎婧婧</v>
      </c>
      <c r="C94" s="9" t="str">
        <f t="shared" si="47"/>
        <v>女</v>
      </c>
      <c r="D94" s="9">
        <v>1996.07</v>
      </c>
      <c r="E94" s="9" t="str">
        <f aca="true" t="shared" si="48" ref="E94:E101">"汉族"</f>
        <v>汉族</v>
      </c>
      <c r="F94" s="9" t="str">
        <f aca="true" t="shared" si="49" ref="F94:F98">"共青团员"</f>
        <v>共青团员</v>
      </c>
      <c r="G94" s="9" t="str">
        <f>"济南大学"</f>
        <v>济南大学</v>
      </c>
      <c r="H94" s="9" t="str">
        <f>"大学本科学历工学学士学位"</f>
        <v>大学本科学历工学学士学位</v>
      </c>
      <c r="I94" s="9" t="str">
        <f>"建筑学"</f>
        <v>建筑学</v>
      </c>
      <c r="J94" s="15">
        <v>319020216129</v>
      </c>
      <c r="K94" s="16" t="s">
        <v>197</v>
      </c>
      <c r="L94" s="24" t="s">
        <v>198</v>
      </c>
      <c r="M94" s="18" t="s">
        <v>18</v>
      </c>
      <c r="N94" s="19"/>
    </row>
    <row r="95" spans="1:14" ht="49.5" customHeight="1">
      <c r="A95" s="8">
        <v>92</v>
      </c>
      <c r="B95" s="9" t="str">
        <f>"刘靖"</f>
        <v>刘靖</v>
      </c>
      <c r="C95" s="9" t="str">
        <f t="shared" si="47"/>
        <v>女</v>
      </c>
      <c r="D95" s="9">
        <v>1999.12</v>
      </c>
      <c r="E95" s="9" t="str">
        <f t="shared" si="48"/>
        <v>汉族</v>
      </c>
      <c r="F95" s="9" t="str">
        <f t="shared" si="49"/>
        <v>共青团员</v>
      </c>
      <c r="G95" s="9" t="str">
        <f>"中北大学"</f>
        <v>中北大学</v>
      </c>
      <c r="H95" s="9" t="str">
        <f>"大学本科学历法学学士学位"</f>
        <v>大学本科学历法学学士学位</v>
      </c>
      <c r="I95" s="9" t="str">
        <f aca="true" t="shared" si="50" ref="I95:I100">"法学"</f>
        <v>法学</v>
      </c>
      <c r="J95" s="15">
        <v>319030105615</v>
      </c>
      <c r="K95" s="16" t="s">
        <v>199</v>
      </c>
      <c r="L95" s="24" t="s">
        <v>200</v>
      </c>
      <c r="M95" s="18" t="s">
        <v>18</v>
      </c>
      <c r="N95" s="19"/>
    </row>
    <row r="96" spans="1:14" ht="49.5" customHeight="1">
      <c r="A96" s="8">
        <v>93</v>
      </c>
      <c r="B96" s="9" t="str">
        <f>"贾桐轩"</f>
        <v>贾桐轩</v>
      </c>
      <c r="C96" s="9" t="str">
        <f t="shared" si="47"/>
        <v>女</v>
      </c>
      <c r="D96" s="9">
        <v>1999.11</v>
      </c>
      <c r="E96" s="9" t="str">
        <f t="shared" si="48"/>
        <v>汉族</v>
      </c>
      <c r="F96" s="9" t="str">
        <f t="shared" si="49"/>
        <v>共青团员</v>
      </c>
      <c r="G96" s="9" t="str">
        <f>"广东石油化工学院"</f>
        <v>广东石油化工学院</v>
      </c>
      <c r="H96" s="9" t="str">
        <f>"大学本科学历法学学士学位"</f>
        <v>大学本科学历法学学士学位</v>
      </c>
      <c r="I96" s="9" t="str">
        <f t="shared" si="50"/>
        <v>法学</v>
      </c>
      <c r="J96" s="15">
        <v>319030106020</v>
      </c>
      <c r="K96" s="16" t="s">
        <v>201</v>
      </c>
      <c r="L96" s="24" t="s">
        <v>200</v>
      </c>
      <c r="M96" s="18" t="s">
        <v>18</v>
      </c>
      <c r="N96" s="19"/>
    </row>
    <row r="97" spans="1:14" ht="49.5" customHeight="1">
      <c r="A97" s="8">
        <v>94</v>
      </c>
      <c r="B97" s="9" t="str">
        <f>"陈柳"</f>
        <v>陈柳</v>
      </c>
      <c r="C97" s="9" t="str">
        <f t="shared" si="47"/>
        <v>女</v>
      </c>
      <c r="D97" s="9">
        <v>1998.11</v>
      </c>
      <c r="E97" s="9" t="str">
        <f t="shared" si="48"/>
        <v>汉族</v>
      </c>
      <c r="F97" s="9" t="str">
        <f t="shared" si="49"/>
        <v>共青团员</v>
      </c>
      <c r="G97" s="9" t="str">
        <f>"中南财经政法大学"</f>
        <v>中南财经政法大学</v>
      </c>
      <c r="H97" s="9" t="str">
        <f>"大学本科学历管理学学士学位"</f>
        <v>大学本科学历管理学学士学位</v>
      </c>
      <c r="I97" s="9" t="str">
        <f>"人力资源管理"</f>
        <v>人力资源管理</v>
      </c>
      <c r="J97" s="15">
        <v>319040108019</v>
      </c>
      <c r="K97" s="16" t="s">
        <v>202</v>
      </c>
      <c r="L97" s="24" t="s">
        <v>203</v>
      </c>
      <c r="M97" s="18" t="s">
        <v>18</v>
      </c>
      <c r="N97" s="19"/>
    </row>
    <row r="98" spans="1:14" ht="49.5" customHeight="1">
      <c r="A98" s="8">
        <v>95</v>
      </c>
      <c r="B98" s="9" t="str">
        <f>"戴丽珍"</f>
        <v>戴丽珍</v>
      </c>
      <c r="C98" s="9" t="str">
        <f t="shared" si="47"/>
        <v>女</v>
      </c>
      <c r="D98" s="9">
        <v>1999.01</v>
      </c>
      <c r="E98" s="9" t="str">
        <f t="shared" si="48"/>
        <v>汉族</v>
      </c>
      <c r="F98" s="9" t="str">
        <f t="shared" si="49"/>
        <v>共青团员</v>
      </c>
      <c r="G98" s="9" t="str">
        <f>"海口经济学院"</f>
        <v>海口经济学院</v>
      </c>
      <c r="H98" s="9" t="str">
        <f>"大学本科学历管理学学士学位"</f>
        <v>大学本科学历管理学学士学位</v>
      </c>
      <c r="I98" s="9" t="str">
        <f>"会计学"</f>
        <v>会计学</v>
      </c>
      <c r="J98" s="15">
        <v>319050100922</v>
      </c>
      <c r="K98" s="16" t="s">
        <v>204</v>
      </c>
      <c r="L98" s="24" t="s">
        <v>205</v>
      </c>
      <c r="M98" s="18" t="s">
        <v>18</v>
      </c>
      <c r="N98" s="19"/>
    </row>
    <row r="99" spans="1:14" ht="49.5" customHeight="1">
      <c r="A99" s="8">
        <v>96</v>
      </c>
      <c r="B99" s="9" t="str">
        <f>"黄文骞"</f>
        <v>黄文骞</v>
      </c>
      <c r="C99" s="9" t="str">
        <f t="shared" si="47"/>
        <v>女</v>
      </c>
      <c r="D99" s="9">
        <v>1997.12</v>
      </c>
      <c r="E99" s="9" t="str">
        <f t="shared" si="48"/>
        <v>汉族</v>
      </c>
      <c r="F99" s="9" t="str">
        <f>"群众"</f>
        <v>群众</v>
      </c>
      <c r="G99" s="9" t="str">
        <f>"海南热带海洋学院"</f>
        <v>海南热带海洋学院</v>
      </c>
      <c r="H99" s="9" t="str">
        <f>"大学本科学历文学学士学位"</f>
        <v>大学本科学历文学学士学位</v>
      </c>
      <c r="I99" s="9" t="str">
        <f>"汉语言文学"</f>
        <v>汉语言文学</v>
      </c>
      <c r="J99" s="15">
        <v>320010109221</v>
      </c>
      <c r="K99" s="16" t="s">
        <v>206</v>
      </c>
      <c r="L99" s="24" t="s">
        <v>207</v>
      </c>
      <c r="M99" s="18" t="s">
        <v>18</v>
      </c>
      <c r="N99" s="19"/>
    </row>
    <row r="100" spans="1:14" ht="49.5" customHeight="1">
      <c r="A100" s="8">
        <v>97</v>
      </c>
      <c r="B100" s="9" t="s">
        <v>208</v>
      </c>
      <c r="C100" s="9" t="str">
        <f>"男"</f>
        <v>男</v>
      </c>
      <c r="D100" s="10">
        <v>1987.09</v>
      </c>
      <c r="E100" s="9" t="str">
        <f t="shared" si="48"/>
        <v>汉族</v>
      </c>
      <c r="F100" s="9" t="str">
        <f>"群众"</f>
        <v>群众</v>
      </c>
      <c r="G100" s="9" t="s">
        <v>209</v>
      </c>
      <c r="H100" s="9" t="str">
        <f>"大学本科学历"</f>
        <v>大学本科学历</v>
      </c>
      <c r="I100" s="9" t="str">
        <f t="shared" si="50"/>
        <v>法学</v>
      </c>
      <c r="J100" s="20">
        <v>320020106722</v>
      </c>
      <c r="K100" s="25" t="s">
        <v>210</v>
      </c>
      <c r="L100" s="24" t="s">
        <v>211</v>
      </c>
      <c r="M100" s="18" t="s">
        <v>18</v>
      </c>
      <c r="N100" s="19"/>
    </row>
    <row r="101" spans="1:14" ht="49.5" customHeight="1">
      <c r="A101" s="8">
        <v>98</v>
      </c>
      <c r="B101" s="9" t="str">
        <f>"陈旭龙"</f>
        <v>陈旭龙</v>
      </c>
      <c r="C101" s="9" t="str">
        <f>"男"</f>
        <v>男</v>
      </c>
      <c r="D101" s="9">
        <v>2000.09</v>
      </c>
      <c r="E101" s="9" t="str">
        <f t="shared" si="48"/>
        <v>汉族</v>
      </c>
      <c r="F101" s="9" t="str">
        <f>"共青团员"</f>
        <v>共青团员</v>
      </c>
      <c r="G101" s="9" t="str">
        <f>"海南大学"</f>
        <v>海南大学</v>
      </c>
      <c r="H101" s="9" t="str">
        <f>"大学本科学历工学学士学位"</f>
        <v>大学本科学历工学学士学位</v>
      </c>
      <c r="I101" s="9" t="str">
        <f>"物联网工程"</f>
        <v>物联网工程</v>
      </c>
      <c r="J101" s="15">
        <v>320030212708</v>
      </c>
      <c r="K101" s="16" t="s">
        <v>212</v>
      </c>
      <c r="L101" s="24" t="s">
        <v>213</v>
      </c>
      <c r="M101" s="18" t="s">
        <v>18</v>
      </c>
      <c r="N101" s="19"/>
    </row>
  </sheetData>
  <sheetProtection/>
  <autoFilter ref="A3:N101"/>
  <mergeCells count="2">
    <mergeCell ref="A1:N1"/>
    <mergeCell ref="A2:N2"/>
  </mergeCells>
  <printOptions/>
  <pageMargins left="0.43000000000000005" right="0.16" top="0.9" bottom="0.9" header="0.51" footer="0.51"/>
  <pageSetup horizontalDpi="600" verticalDpi="600" orientation="landscape" paperSize="9" scale="65"/>
  <headerFooter scaleWithDoc="0" alignWithMargins="0">
    <oddHeader>&amp;L&amp;"宋体"&amp;16附件3：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H。36</cp:lastModifiedBy>
  <cp:lastPrinted>2011-04-15T03:23:20Z</cp:lastPrinted>
  <dcterms:created xsi:type="dcterms:W3CDTF">1996-12-17T01:32:42Z</dcterms:created>
  <dcterms:modified xsi:type="dcterms:W3CDTF">2023-09-05T07:16:07Z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0690A4958D9541D7AC8AE1C8CECB0E0A_13</vt:lpwstr>
  </property>
  <property fmtid="{D5CDD505-2E9C-101B-9397-08002B2CF9AE}" pid="5" name="KSORubyTemplate">
    <vt:lpwstr>20</vt:lpwstr>
  </property>
</Properties>
</file>