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460" tabRatio="917" firstSheet="1" activeTab="1"/>
  </bookViews>
  <sheets>
    <sheet name="工程变更令" sheetId="1" state="hidden" r:id="rId1"/>
    <sheet name="云龙至文儒公路改建工程K34+300-K35+420段取消实施" sheetId="2" r:id="rId2"/>
    <sheet name="3-工程量计算书" sheetId="3" state="hidden" r:id="rId3"/>
    <sheet name="4-现场签认" sheetId="4" state="hidden" r:id="rId4"/>
    <sheet name="5-防护工程" sheetId="5" state="hidden" r:id="rId5"/>
    <sheet name="6-排水工程 " sheetId="6" state="hidden" r:id="rId6"/>
    <sheet name="7-路面工程" sheetId="7" state="hidden" r:id="rId7"/>
    <sheet name="9-特殊路基处理" sheetId="8" state="hidden" r:id="rId8"/>
    <sheet name="9-1桥头路基处理（增加）" sheetId="9" state="hidden" r:id="rId9"/>
    <sheet name="10-安全设施" sheetId="10" state="hidden" r:id="rId10"/>
    <sheet name="11-路基土石方" sheetId="11" state="hidden" r:id="rId11"/>
    <sheet name="12-南珠桥" sheetId="12" state="hidden" r:id="rId12"/>
    <sheet name="预算审核封面" sheetId="13" state="hidden" r:id="rId13"/>
    <sheet name="编制说明" sheetId="14" state="hidden" r:id="rId14"/>
    <sheet name="预算审核意见书" sheetId="15" state="hidden" r:id="rId15"/>
    <sheet name="单价分析表" sheetId="16" state="hidden" r:id="rId16"/>
    <sheet name="清单表" sheetId="17" state="hidden" r:id="rId17"/>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po">#REF!</definedName>
    <definedName name="_xlnm.Print_Area" localSheetId="9">'10-安全设施'!$A$1:$P$22</definedName>
    <definedName name="_xlnm.Print_Area" localSheetId="4">'5-防护工程'!$A$1:$W$24</definedName>
    <definedName name="_xlnm.Print_Area" localSheetId="6">'7-路面工程'!$A$1:$AE$25</definedName>
    <definedName name="_xlnm.Print_Area" localSheetId="8">'9-1桥头路基处理（增加）'!$A$1:$I$16</definedName>
    <definedName name="_xlnm.Print_Area" localSheetId="7">'9-特殊路基处理'!$A$1:$J$16</definedName>
    <definedName name="_xlnm.Print_Area" localSheetId="0">'工程变更令'!$A$1:$L$82</definedName>
    <definedName name="_xlnm.Print_Area" localSheetId="16">'清单表'!$A$1:$K$73</definedName>
    <definedName name="_xlnm.Print_Area" localSheetId="1">'云龙至文儒公路改建工程K34+300-K35+420段取消实施'!$A$2:$P$72</definedName>
    <definedName name="_xlnm.Print_Titles" localSheetId="10">'11-路基土石方'!$1:$4</definedName>
    <definedName name="_xlnm.Print_Titles" localSheetId="11">'12-南珠桥'!$1:$5</definedName>
    <definedName name="_xlnm.Print_Titles" localSheetId="4">'5-防护工程'!$1:$3</definedName>
    <definedName name="_xlnm.Print_Titles" localSheetId="5">'6-排水工程 '!$1:$3</definedName>
    <definedName name="_xlnm.Print_Titles" localSheetId="6">'7-路面工程'!$1:$5</definedName>
    <definedName name="_xlnm.Print_Titles" localSheetId="0">'工程变更令'!$1:$9</definedName>
    <definedName name="_xlnm.Print_Titles" localSheetId="1">'云龙至文儒公路改建工程K34+300-K35+420段取消实施'!$2:$5</definedName>
    <definedName name="变更" localSheetId="1">#REF!</definedName>
    <definedName name="变更">#REF!</definedName>
    <definedName name="二本">#REF!</definedName>
    <definedName name="计量周期">'[4]支付'!$G$5</definedName>
    <definedName name="截止日期" localSheetId="1">'[5]B1'!$V$4</definedName>
    <definedName name="截止日期">'[6]B1'!$V$4</definedName>
    <definedName name="六本">#REF!</definedName>
    <definedName name="路方11">#REF!</definedName>
    <definedName name="路基土石方数量计算表" localSheetId="1">#REF!</definedName>
    <definedName name="路基土石方数量计算表">#REF!</definedName>
    <definedName name="路面11">#REF!</definedName>
    <definedName name="七本">#REF!</definedName>
    <definedName name="三本">#REF!</definedName>
    <definedName name="三二" localSheetId="8">#REF!</definedName>
    <definedName name="三二">#REF!</definedName>
    <definedName name="三六" localSheetId="8">#REF!</definedName>
    <definedName name="三六">#REF!</definedName>
    <definedName name="三七" localSheetId="8">#REF!</definedName>
    <definedName name="三七">#REF!</definedName>
    <definedName name="三三" localSheetId="8">#REF!</definedName>
    <definedName name="三三">#REF!</definedName>
    <definedName name="三四" localSheetId="8">#REF!</definedName>
    <definedName name="三四">#REF!</definedName>
    <definedName name="三五" localSheetId="8">#REF!</definedName>
    <definedName name="三五">#REF!</definedName>
    <definedName name="四本">#REF!</definedName>
    <definedName name="五本">#REF!</definedName>
    <definedName name="一本">#REF!</definedName>
    <definedName name="一二" localSheetId="8">#REF!</definedName>
    <definedName name="一二">#REF!</definedName>
    <definedName name="一六" localSheetId="8">#REF!</definedName>
    <definedName name="一六">#REF!</definedName>
    <definedName name="一七" localSheetId="8">#REF!</definedName>
    <definedName name="一七">#REF!</definedName>
    <definedName name="一三" localSheetId="8">#REF!</definedName>
    <definedName name="一三">#REF!</definedName>
    <definedName name="一四" localSheetId="8">#REF!</definedName>
    <definedName name="一四">#REF!</definedName>
    <definedName name="圆管涵1">#REF!</definedName>
  </definedNames>
  <calcPr fullCalcOnLoad="1"/>
</workbook>
</file>

<file path=xl/sharedStrings.xml><?xml version="1.0" encoding="utf-8"?>
<sst xmlns="http://schemas.openxmlformats.org/spreadsheetml/2006/main" count="1309" uniqueCount="493">
  <si>
    <r>
      <t>工</t>
    </r>
    <r>
      <rPr>
        <b/>
        <sz val="34"/>
        <rFont val="Arial Narrow"/>
        <family val="2"/>
      </rPr>
      <t xml:space="preserve">  </t>
    </r>
    <r>
      <rPr>
        <b/>
        <sz val="34"/>
        <rFont val="宋体"/>
        <family val="0"/>
      </rPr>
      <t>程</t>
    </r>
    <r>
      <rPr>
        <b/>
        <sz val="34"/>
        <rFont val="Arial Narrow"/>
        <family val="2"/>
      </rPr>
      <t xml:space="preserve">  </t>
    </r>
    <r>
      <rPr>
        <b/>
        <sz val="34"/>
        <rFont val="宋体"/>
        <family val="0"/>
      </rPr>
      <t>变</t>
    </r>
    <r>
      <rPr>
        <b/>
        <sz val="34"/>
        <rFont val="Arial Narrow"/>
        <family val="2"/>
      </rPr>
      <t xml:space="preserve">  </t>
    </r>
    <r>
      <rPr>
        <b/>
        <sz val="34"/>
        <rFont val="宋体"/>
        <family val="0"/>
      </rPr>
      <t>更</t>
    </r>
    <r>
      <rPr>
        <b/>
        <sz val="34"/>
        <rFont val="Arial Narrow"/>
        <family val="2"/>
      </rPr>
      <t xml:space="preserve">  </t>
    </r>
    <r>
      <rPr>
        <b/>
        <sz val="34"/>
        <rFont val="宋体"/>
        <family val="0"/>
      </rPr>
      <t>令</t>
    </r>
  </si>
  <si>
    <t>承包单位：</t>
  </si>
  <si>
    <t>合同段号：</t>
  </si>
  <si>
    <t>监理单位：</t>
  </si>
  <si>
    <r>
      <t>编</t>
    </r>
    <r>
      <rPr>
        <sz val="15"/>
        <rFont val="Arial Narrow"/>
        <family val="2"/>
      </rPr>
      <t xml:space="preserve">      </t>
    </r>
    <r>
      <rPr>
        <sz val="15"/>
        <rFont val="宋体"/>
        <family val="0"/>
      </rPr>
      <t>号：</t>
    </r>
  </si>
  <si>
    <r>
      <t>致承包人：</t>
    </r>
    <r>
      <rPr>
        <u val="single"/>
        <sz val="15"/>
        <rFont val="Arial Narrow"/>
        <family val="2"/>
      </rPr>
      <t xml:space="preserve">                  </t>
    </r>
  </si>
  <si>
    <r>
      <t xml:space="preserve">       </t>
    </r>
    <r>
      <rPr>
        <sz val="15"/>
        <rFont val="宋体"/>
        <family val="0"/>
      </rPr>
      <t>你单位上报的</t>
    </r>
    <r>
      <rPr>
        <u val="single"/>
        <sz val="15"/>
        <rFont val="Arial Narrow"/>
        <family val="2"/>
      </rPr>
      <t xml:space="preserve">      02       </t>
    </r>
    <r>
      <rPr>
        <sz val="15"/>
        <rFont val="宋体"/>
        <family val="0"/>
      </rPr>
      <t>号《工程变更设计资料》已经监理、设计代表、业主审核，同意按照下列单价和数量进行变更，请按变更后的图纸组织施工。</t>
    </r>
  </si>
  <si>
    <t>变更理由：</t>
  </si>
  <si>
    <t>由于该路段的施工图设计和拆除重建的南珠桥施工图设计不符合定海大桥的总体规划设计，且定海大桥近期将实施建设，故建议该路段（包括拆除重建的南珠桥）的施工暂缓实施。</t>
  </si>
  <si>
    <t>要点说明：</t>
  </si>
  <si>
    <t>不符合定海大桥的总体规划设计。</t>
  </si>
  <si>
    <r>
      <t>附件：《变更设计申报资料》（编号：YWBG-Ⅱ-02</t>
    </r>
    <r>
      <rPr>
        <sz val="15"/>
        <rFont val="宋体"/>
        <family val="0"/>
      </rPr>
      <t>号）</t>
    </r>
  </si>
  <si>
    <t>变更设计前后的工程数量投资</t>
  </si>
  <si>
    <t>子目号</t>
  </si>
  <si>
    <t>子目名称</t>
  </si>
  <si>
    <t>单位</t>
  </si>
  <si>
    <t>单价</t>
  </si>
  <si>
    <t>原设计
数量</t>
  </si>
  <si>
    <t>变更后
数量</t>
  </si>
  <si>
    <t>数量变化情况</t>
  </si>
  <si>
    <t>金额变化情况</t>
  </si>
  <si>
    <t>合同</t>
  </si>
  <si>
    <t>补充</t>
  </si>
  <si>
    <t>增加</t>
  </si>
  <si>
    <t>减少</t>
  </si>
  <si>
    <t>202-2-c</t>
  </si>
  <si>
    <r>
      <t>沥青混凝土路面（厚</t>
    </r>
    <r>
      <rPr>
        <sz val="11"/>
        <rFont val="Arial Narrow"/>
        <family val="2"/>
      </rPr>
      <t>3cm</t>
    </r>
    <r>
      <rPr>
        <sz val="11"/>
        <rFont val="宋体"/>
        <family val="0"/>
      </rPr>
      <t>）</t>
    </r>
  </si>
  <si>
    <t>m2</t>
  </si>
  <si>
    <t>202-3-b</t>
  </si>
  <si>
    <t>拆除混凝土结构</t>
  </si>
  <si>
    <t>m3</t>
  </si>
  <si>
    <t>202-3-c</t>
  </si>
  <si>
    <t>砖石砌体结构</t>
  </si>
  <si>
    <t>203-1-a</t>
  </si>
  <si>
    <t>路基挖土方</t>
  </si>
  <si>
    <t>204-1-a</t>
  </si>
  <si>
    <r>
      <t>换填土</t>
    </r>
    <r>
      <rPr>
        <sz val="11"/>
        <rFont val="Arial Narrow"/>
        <family val="2"/>
      </rPr>
      <t>(</t>
    </r>
    <r>
      <rPr>
        <sz val="11"/>
        <rFont val="宋体"/>
        <family val="0"/>
      </rPr>
      <t>砂砾土</t>
    </r>
    <r>
      <rPr>
        <sz val="11"/>
        <rFont val="Arial Narrow"/>
        <family val="2"/>
      </rPr>
      <t>)</t>
    </r>
  </si>
  <si>
    <t>204-1-b</t>
  </si>
  <si>
    <t>利用土方</t>
  </si>
  <si>
    <t>204-1-e</t>
  </si>
  <si>
    <t>借土填方</t>
  </si>
  <si>
    <t>204-1-g</t>
  </si>
  <si>
    <t>结构物台背回填</t>
  </si>
  <si>
    <t>204-1-h</t>
  </si>
  <si>
    <t>锥坡及台前溜坡填土</t>
  </si>
  <si>
    <t>205-1-l</t>
  </si>
  <si>
    <t>土工织物</t>
  </si>
  <si>
    <t>207-1-a</t>
  </si>
  <si>
    <r>
      <t>边沟</t>
    </r>
    <r>
      <rPr>
        <sz val="11"/>
        <rFont val="Arial Narrow"/>
        <family val="2"/>
      </rPr>
      <t>M7.5</t>
    </r>
    <r>
      <rPr>
        <sz val="11"/>
        <rFont val="宋体"/>
        <family val="0"/>
      </rPr>
      <t xml:space="preserve">浆砌片石
</t>
    </r>
    <r>
      <rPr>
        <sz val="11"/>
        <rFont val="Arial Narrow"/>
        <family val="2"/>
      </rPr>
      <t>(</t>
    </r>
    <r>
      <rPr>
        <sz val="11"/>
        <rFont val="宋体"/>
        <family val="0"/>
      </rPr>
      <t>含出水口</t>
    </r>
    <r>
      <rPr>
        <sz val="11"/>
        <rFont val="Arial Narrow"/>
        <family val="2"/>
      </rPr>
      <t>)</t>
    </r>
  </si>
  <si>
    <t>207-9-d</t>
  </si>
  <si>
    <r>
      <t>加盖板边沟</t>
    </r>
    <r>
      <rPr>
        <sz val="11"/>
        <rFont val="Arial Narrow"/>
        <family val="2"/>
      </rPr>
      <t xml:space="preserve"> </t>
    </r>
    <r>
      <rPr>
        <sz val="11"/>
        <rFont val="宋体"/>
        <family val="0"/>
      </rPr>
      <t>矩形</t>
    </r>
    <r>
      <rPr>
        <sz val="11"/>
        <rFont val="Arial Narrow"/>
        <family val="2"/>
      </rPr>
      <t>600×600</t>
    </r>
  </si>
  <si>
    <t>m</t>
  </si>
  <si>
    <t>208-1-a</t>
  </si>
  <si>
    <t>种草</t>
  </si>
  <si>
    <t>208-3-c</t>
  </si>
  <si>
    <t>满铺护坡</t>
  </si>
  <si>
    <t>209-1-a</t>
  </si>
  <si>
    <r>
      <t>砌体挡土墙</t>
    </r>
    <r>
      <rPr>
        <sz val="11"/>
        <rFont val="Arial Narrow"/>
        <family val="2"/>
      </rPr>
      <t>M7.5</t>
    </r>
    <r>
      <rPr>
        <sz val="11"/>
        <rFont val="宋体"/>
        <family val="0"/>
      </rPr>
      <t>浆砌片石</t>
    </r>
  </si>
  <si>
    <t>209-1-d</t>
  </si>
  <si>
    <t>挡土墙砂砾垫层（碎石砂）</t>
  </si>
  <si>
    <t>215-5-a</t>
  </si>
  <si>
    <r>
      <t>M7.5</t>
    </r>
    <r>
      <rPr>
        <sz val="11"/>
        <rFont val="宋体"/>
        <family val="0"/>
      </rPr>
      <t>级浆砌片石锥坡</t>
    </r>
  </si>
  <si>
    <t>215-5-b</t>
  </si>
  <si>
    <t>锥坡砂砾垫层</t>
  </si>
  <si>
    <t>304-3-b</t>
  </si>
  <si>
    <r>
      <t>厚</t>
    </r>
    <r>
      <rPr>
        <sz val="11"/>
        <rFont val="Arial Narrow"/>
        <family val="2"/>
      </rPr>
      <t>200mm</t>
    </r>
    <r>
      <rPr>
        <sz val="11"/>
        <rFont val="宋体"/>
        <family val="0"/>
      </rPr>
      <t>水泥稳定碎石</t>
    </r>
    <r>
      <rPr>
        <sz val="11"/>
        <rFont val="Arial Narrow"/>
        <family val="2"/>
      </rPr>
      <t xml:space="preserve"> </t>
    </r>
  </si>
  <si>
    <t>306-1-a</t>
  </si>
  <si>
    <r>
      <t>厚</t>
    </r>
    <r>
      <rPr>
        <sz val="11"/>
        <rFont val="Arial Narrow"/>
        <family val="2"/>
      </rPr>
      <t>0</t>
    </r>
    <r>
      <rPr>
        <sz val="11"/>
        <rFont val="宋体"/>
        <family val="0"/>
      </rPr>
      <t>～</t>
    </r>
    <r>
      <rPr>
        <sz val="11"/>
        <rFont val="Arial Narrow"/>
        <family val="2"/>
      </rPr>
      <t>100mm(</t>
    </r>
    <r>
      <rPr>
        <sz val="11"/>
        <rFont val="宋体"/>
        <family val="0"/>
      </rPr>
      <t>调平层</t>
    </r>
    <r>
      <rPr>
        <sz val="11"/>
        <rFont val="Arial Narrow"/>
        <family val="2"/>
      </rPr>
      <t>)</t>
    </r>
  </si>
  <si>
    <t>306-1-c</t>
  </si>
  <si>
    <r>
      <t>厚</t>
    </r>
    <r>
      <rPr>
        <sz val="11"/>
        <rFont val="Arial Narrow"/>
        <family val="2"/>
      </rPr>
      <t>150mm</t>
    </r>
    <r>
      <rPr>
        <sz val="11"/>
        <rFont val="宋体"/>
        <family val="0"/>
      </rPr>
      <t>及配碎石底基层</t>
    </r>
  </si>
  <si>
    <t>306-1-e</t>
  </si>
  <si>
    <r>
      <t>厚</t>
    </r>
    <r>
      <rPr>
        <sz val="11"/>
        <rFont val="Arial Narrow"/>
        <family val="2"/>
      </rPr>
      <t>200mm</t>
    </r>
    <r>
      <rPr>
        <sz val="11"/>
        <rFont val="宋体"/>
        <family val="0"/>
      </rPr>
      <t>级配碎石底基层</t>
    </r>
  </si>
  <si>
    <t>306-3-a</t>
  </si>
  <si>
    <r>
      <t>厚</t>
    </r>
    <r>
      <rPr>
        <sz val="11"/>
        <rFont val="Arial Narrow"/>
        <family val="2"/>
      </rPr>
      <t>150mm(</t>
    </r>
    <r>
      <rPr>
        <sz val="11"/>
        <rFont val="宋体"/>
        <family val="0"/>
      </rPr>
      <t>硬路肩及平交口</t>
    </r>
    <r>
      <rPr>
        <sz val="11"/>
        <rFont val="Arial Narrow"/>
        <family val="2"/>
      </rPr>
      <t>)</t>
    </r>
  </si>
  <si>
    <t>310-2</t>
  </si>
  <si>
    <t>封层</t>
  </si>
  <si>
    <t>312-1-a</t>
  </si>
  <si>
    <r>
      <t>厚</t>
    </r>
    <r>
      <rPr>
        <sz val="11"/>
        <rFont val="Arial Narrow"/>
        <family val="2"/>
      </rPr>
      <t>180mm(</t>
    </r>
    <r>
      <rPr>
        <sz val="11"/>
        <rFont val="宋体"/>
        <family val="0"/>
      </rPr>
      <t>混凝土弯拉强度</t>
    </r>
    <r>
      <rPr>
        <sz val="11"/>
        <rFont val="Arial Narrow"/>
        <family val="2"/>
      </rPr>
      <t>4.0MPa)</t>
    </r>
  </si>
  <si>
    <t>312-1-b</t>
  </si>
  <si>
    <r>
      <t>厚</t>
    </r>
    <r>
      <rPr>
        <sz val="11"/>
        <rFont val="Arial Narrow"/>
        <family val="2"/>
      </rPr>
      <t>240mm(</t>
    </r>
    <r>
      <rPr>
        <sz val="11"/>
        <rFont val="宋体"/>
        <family val="0"/>
      </rPr>
      <t>混凝土弯拉强度</t>
    </r>
    <r>
      <rPr>
        <sz val="11"/>
        <rFont val="Arial Narrow"/>
        <family val="2"/>
      </rPr>
      <t>5.0MPa)</t>
    </r>
  </si>
  <si>
    <t>312-1-c</t>
  </si>
  <si>
    <t>过渡板水泥混凝土</t>
  </si>
  <si>
    <t>312-2-a</t>
  </si>
  <si>
    <r>
      <t>钢筋</t>
    </r>
    <r>
      <rPr>
        <sz val="11"/>
        <rFont val="Arial Narrow"/>
        <family val="2"/>
      </rPr>
      <t>HPB235</t>
    </r>
  </si>
  <si>
    <t>kg</t>
  </si>
  <si>
    <t>312-2-b</t>
  </si>
  <si>
    <r>
      <t>钢筋</t>
    </r>
    <r>
      <rPr>
        <sz val="11"/>
        <rFont val="Arial Narrow"/>
        <family val="2"/>
      </rPr>
      <t>HRB335</t>
    </r>
  </si>
  <si>
    <t>313-1</t>
  </si>
  <si>
    <t>培土路肩</t>
  </si>
  <si>
    <t>313-3 -b</t>
  </si>
  <si>
    <r>
      <t>厚</t>
    </r>
    <r>
      <rPr>
        <sz val="11"/>
        <rFont val="Arial Narrow"/>
        <family val="2"/>
      </rPr>
      <t>180mm</t>
    </r>
    <r>
      <rPr>
        <sz val="11"/>
        <rFont val="宋体"/>
        <family val="0"/>
      </rPr>
      <t>现浇混凝土加固土路肩</t>
    </r>
  </si>
  <si>
    <t>403-1-a</t>
  </si>
  <si>
    <r>
      <t>基础钢筋光圆钢筋</t>
    </r>
    <r>
      <rPr>
        <sz val="11"/>
        <rFont val="Arial Narrow"/>
        <family val="2"/>
      </rPr>
      <t>(HPB235</t>
    </r>
    <r>
      <rPr>
        <sz val="11"/>
        <rFont val="宋体"/>
        <family val="0"/>
      </rPr>
      <t>、</t>
    </r>
    <r>
      <rPr>
        <sz val="11"/>
        <rFont val="Arial Narrow"/>
        <family val="2"/>
      </rPr>
      <t>HPB300)</t>
    </r>
  </si>
  <si>
    <t>403-1-b</t>
  </si>
  <si>
    <r>
      <t>基础钢筋带肋钢筋</t>
    </r>
    <r>
      <rPr>
        <sz val="11"/>
        <rFont val="Arial Narrow"/>
        <family val="2"/>
      </rPr>
      <t>(HRB335</t>
    </r>
    <r>
      <rPr>
        <sz val="11"/>
        <rFont val="宋体"/>
        <family val="0"/>
      </rPr>
      <t>、</t>
    </r>
    <r>
      <rPr>
        <sz val="11"/>
        <rFont val="Arial Narrow"/>
        <family val="2"/>
      </rPr>
      <t>HRB400)</t>
    </r>
  </si>
  <si>
    <t>403-2-a</t>
  </si>
  <si>
    <r>
      <t>下部结构钢筋光圆钢筋</t>
    </r>
    <r>
      <rPr>
        <sz val="11"/>
        <rFont val="Arial Narrow"/>
        <family val="2"/>
      </rPr>
      <t>(HPB235</t>
    </r>
    <r>
      <rPr>
        <sz val="11"/>
        <rFont val="宋体"/>
        <family val="0"/>
      </rPr>
      <t>、</t>
    </r>
    <r>
      <rPr>
        <sz val="11"/>
        <rFont val="Arial Narrow"/>
        <family val="2"/>
      </rPr>
      <t>HPB300)</t>
    </r>
  </si>
  <si>
    <t>403-2-b</t>
  </si>
  <si>
    <r>
      <t>下部结构钢筋带肋钢筋</t>
    </r>
    <r>
      <rPr>
        <sz val="11"/>
        <rFont val="Arial Narrow"/>
        <family val="2"/>
      </rPr>
      <t>(HRB335</t>
    </r>
    <r>
      <rPr>
        <sz val="11"/>
        <rFont val="宋体"/>
        <family val="0"/>
      </rPr>
      <t>、</t>
    </r>
    <r>
      <rPr>
        <sz val="11"/>
        <rFont val="Arial Narrow"/>
        <family val="2"/>
      </rPr>
      <t>HRB400)</t>
    </r>
  </si>
  <si>
    <t>403-3-a</t>
  </si>
  <si>
    <r>
      <t>上部结构钢筋光圆钢筋</t>
    </r>
    <r>
      <rPr>
        <sz val="11"/>
        <rFont val="Arial Narrow"/>
        <family val="2"/>
      </rPr>
      <t>(HPB235</t>
    </r>
    <r>
      <rPr>
        <sz val="11"/>
        <rFont val="宋体"/>
        <family val="0"/>
      </rPr>
      <t>、</t>
    </r>
    <r>
      <rPr>
        <sz val="11"/>
        <rFont val="Arial Narrow"/>
        <family val="2"/>
      </rPr>
      <t>HPB300)</t>
    </r>
  </si>
  <si>
    <t>403-3-b</t>
  </si>
  <si>
    <r>
      <t>上部结构钢筋带肋钢筋</t>
    </r>
    <r>
      <rPr>
        <sz val="11"/>
        <rFont val="Arial Narrow"/>
        <family val="2"/>
      </rPr>
      <t>(HRB335</t>
    </r>
    <r>
      <rPr>
        <sz val="11"/>
        <rFont val="宋体"/>
        <family val="0"/>
      </rPr>
      <t>、</t>
    </r>
    <r>
      <rPr>
        <sz val="11"/>
        <rFont val="Arial Narrow"/>
        <family val="2"/>
      </rPr>
      <t>HRB400)</t>
    </r>
  </si>
  <si>
    <t>403-4-a</t>
  </si>
  <si>
    <r>
      <t>附属结构钢筋光圆钢筋</t>
    </r>
    <r>
      <rPr>
        <sz val="11"/>
        <rFont val="Arial Narrow"/>
        <family val="2"/>
      </rPr>
      <t>(HPB235</t>
    </r>
    <r>
      <rPr>
        <sz val="11"/>
        <rFont val="宋体"/>
        <family val="0"/>
      </rPr>
      <t>、</t>
    </r>
    <r>
      <rPr>
        <sz val="11"/>
        <rFont val="Arial Narrow"/>
        <family val="2"/>
      </rPr>
      <t>HPB300)</t>
    </r>
  </si>
  <si>
    <t>403-4-b</t>
  </si>
  <si>
    <r>
      <t>附属结构钢筋带肋钢筋</t>
    </r>
    <r>
      <rPr>
        <sz val="11"/>
        <rFont val="Arial Narrow"/>
        <family val="2"/>
      </rPr>
      <t>(HRB335</t>
    </r>
    <r>
      <rPr>
        <sz val="11"/>
        <rFont val="宋体"/>
        <family val="0"/>
      </rPr>
      <t>、</t>
    </r>
    <r>
      <rPr>
        <sz val="11"/>
        <rFont val="Arial Narrow"/>
        <family val="2"/>
      </rPr>
      <t>HRB400)</t>
    </r>
  </si>
  <si>
    <t>404-1</t>
  </si>
  <si>
    <t>干处挖土方</t>
  </si>
  <si>
    <t>405-1-a</t>
  </si>
  <si>
    <r>
      <t>钻孔灌注桩○</t>
    </r>
    <r>
      <rPr>
        <sz val="11"/>
        <rFont val="Arial Narrow"/>
        <family val="2"/>
      </rPr>
      <t>1.2m</t>
    </r>
  </si>
  <si>
    <t xml:space="preserve"> m</t>
  </si>
  <si>
    <t>410-1-c</t>
  </si>
  <si>
    <r>
      <t>C30</t>
    </r>
    <r>
      <rPr>
        <sz val="11"/>
        <rFont val="宋体"/>
        <family val="0"/>
      </rPr>
      <t>混凝土承台</t>
    </r>
  </si>
  <si>
    <t>410-2-a</t>
  </si>
  <si>
    <r>
      <t>C30</t>
    </r>
    <r>
      <rPr>
        <sz val="11"/>
        <rFont val="宋体"/>
        <family val="0"/>
      </rPr>
      <t>混凝土台身</t>
    </r>
    <r>
      <rPr>
        <sz val="11"/>
        <rFont val="Arial Narrow"/>
        <family val="2"/>
      </rPr>
      <t>(</t>
    </r>
    <r>
      <rPr>
        <sz val="11"/>
        <rFont val="宋体"/>
        <family val="0"/>
      </rPr>
      <t>肋台、扶壁台</t>
    </r>
    <r>
      <rPr>
        <sz val="11"/>
        <rFont val="Arial Narrow"/>
        <family val="2"/>
      </rPr>
      <t>)</t>
    </r>
  </si>
  <si>
    <t>410-2-c</t>
  </si>
  <si>
    <r>
      <t>C30</t>
    </r>
    <r>
      <rPr>
        <sz val="11"/>
        <rFont val="宋体"/>
        <family val="0"/>
      </rPr>
      <t>混凝土台帽</t>
    </r>
  </si>
  <si>
    <t>410-2-e</t>
  </si>
  <si>
    <r>
      <t>C30</t>
    </r>
    <r>
      <rPr>
        <sz val="11"/>
        <rFont val="宋体"/>
        <family val="0"/>
      </rPr>
      <t>混凝土耳背墙</t>
    </r>
  </si>
  <si>
    <t>410-6-b</t>
  </si>
  <si>
    <r>
      <t>C30</t>
    </r>
    <r>
      <rPr>
        <sz val="11"/>
        <rFont val="宋体"/>
        <family val="0"/>
      </rPr>
      <t>混凝土搭板</t>
    </r>
  </si>
  <si>
    <t>410-6-c</t>
  </si>
  <si>
    <r>
      <t>C30</t>
    </r>
    <r>
      <rPr>
        <sz val="11"/>
        <rFont val="宋体"/>
        <family val="0"/>
      </rPr>
      <t>混凝土墙式护栏</t>
    </r>
  </si>
  <si>
    <t>410-6-f</t>
  </si>
  <si>
    <r>
      <t>C50</t>
    </r>
    <r>
      <rPr>
        <sz val="11"/>
        <rFont val="宋体"/>
        <family val="0"/>
      </rPr>
      <t>混凝土支座</t>
    </r>
  </si>
  <si>
    <t>411-5</t>
  </si>
  <si>
    <t>后张法预应力钢绞线</t>
  </si>
  <si>
    <t>411-8-a</t>
  </si>
  <si>
    <r>
      <t>C40</t>
    </r>
    <r>
      <rPr>
        <sz val="11"/>
        <rFont val="宋体"/>
        <family val="0"/>
      </rPr>
      <t>混凝土空心板</t>
    </r>
  </si>
  <si>
    <t>411-8-b</t>
  </si>
  <si>
    <r>
      <t>C50</t>
    </r>
    <r>
      <rPr>
        <sz val="11"/>
        <rFont val="宋体"/>
        <family val="0"/>
      </rPr>
      <t>混凝土空心板</t>
    </r>
  </si>
  <si>
    <t>413-1-a</t>
  </si>
  <si>
    <r>
      <t>M7.5</t>
    </r>
    <r>
      <rPr>
        <sz val="11"/>
        <rFont val="宋体"/>
        <family val="0"/>
      </rPr>
      <t>浆砌片石</t>
    </r>
  </si>
  <si>
    <t>415-1-a</t>
  </si>
  <si>
    <r>
      <t xml:space="preserve"> </t>
    </r>
    <r>
      <rPr>
        <sz val="11"/>
        <rFont val="宋体"/>
        <family val="0"/>
      </rPr>
      <t>厚</t>
    </r>
    <r>
      <rPr>
        <sz val="11"/>
        <rFont val="Arial Narrow"/>
        <family val="2"/>
      </rPr>
      <t>100mm</t>
    </r>
    <r>
      <rPr>
        <sz val="11"/>
        <rFont val="宋体"/>
        <family val="0"/>
      </rPr>
      <t>沥青混凝土桥面铺装</t>
    </r>
  </si>
  <si>
    <t>415-2-b</t>
  </si>
  <si>
    <r>
      <t>C50</t>
    </r>
    <r>
      <rPr>
        <sz val="11"/>
        <rFont val="宋体"/>
        <family val="0"/>
      </rPr>
      <t>级混凝土</t>
    </r>
    <r>
      <rPr>
        <sz val="11"/>
        <rFont val="Arial Narrow"/>
        <family val="2"/>
      </rPr>
      <t>(</t>
    </r>
    <r>
      <rPr>
        <sz val="11"/>
        <rFont val="宋体"/>
        <family val="0"/>
      </rPr>
      <t>含绞缝</t>
    </r>
    <r>
      <rPr>
        <sz val="11"/>
        <rFont val="Arial Narrow"/>
        <family val="2"/>
      </rPr>
      <t>)</t>
    </r>
  </si>
  <si>
    <t>415-3-a</t>
  </si>
  <si>
    <r>
      <t>高分子改性</t>
    </r>
    <r>
      <rPr>
        <sz val="11"/>
        <rFont val="Arial Narrow"/>
        <family val="2"/>
      </rPr>
      <t>JS</t>
    </r>
    <r>
      <rPr>
        <sz val="11"/>
        <rFont val="宋体"/>
        <family val="0"/>
      </rPr>
      <t>防水层</t>
    </r>
  </si>
  <si>
    <t>416-2-c</t>
  </si>
  <si>
    <r>
      <t>GYZ 250×56</t>
    </r>
    <r>
      <rPr>
        <sz val="11"/>
        <rFont val="宋体"/>
        <family val="0"/>
      </rPr>
      <t>园形板式橡胶支座</t>
    </r>
  </si>
  <si>
    <t>个</t>
  </si>
  <si>
    <t>417-2-a</t>
  </si>
  <si>
    <r>
      <t>D40</t>
    </r>
    <r>
      <rPr>
        <sz val="11"/>
        <rFont val="宋体"/>
        <family val="0"/>
      </rPr>
      <t>型钢组合伸缩缝</t>
    </r>
  </si>
  <si>
    <t>602-2-a</t>
  </si>
  <si>
    <r>
      <t>Gr-A-4E</t>
    </r>
    <r>
      <rPr>
        <sz val="11"/>
        <rFont val="宋体"/>
        <family val="0"/>
      </rPr>
      <t>单面波形梁钢护栏</t>
    </r>
  </si>
  <si>
    <t>602-5-a</t>
  </si>
  <si>
    <t>分设型圆头式端头</t>
  </si>
  <si>
    <t>处</t>
  </si>
  <si>
    <t>602-5-b</t>
  </si>
  <si>
    <t>分设型地锚式端头</t>
  </si>
  <si>
    <t>603-6</t>
  </si>
  <si>
    <t>钢筋混凝土立柱</t>
  </si>
  <si>
    <t>根</t>
  </si>
  <si>
    <t>603-7</t>
  </si>
  <si>
    <t>钢立柱</t>
  </si>
  <si>
    <t>604-1-a</t>
  </si>
  <si>
    <r>
      <t>△</t>
    </r>
    <r>
      <rPr>
        <sz val="11"/>
        <rFont val="Arial Narrow"/>
        <family val="2"/>
      </rPr>
      <t>900</t>
    </r>
    <r>
      <rPr>
        <sz val="11"/>
        <rFont val="宋体"/>
        <family val="0"/>
      </rPr>
      <t>单柱铝合金标志牌</t>
    </r>
  </si>
  <si>
    <t xml:space="preserve"> 604-1-l</t>
  </si>
  <si>
    <r>
      <t>□</t>
    </r>
    <r>
      <rPr>
        <sz val="11"/>
        <rFont val="Arial Narrow"/>
        <family val="2"/>
      </rPr>
      <t>1400×1200</t>
    </r>
    <r>
      <rPr>
        <sz val="11"/>
        <rFont val="宋体"/>
        <family val="0"/>
      </rPr>
      <t>单柱铝合金标志牌</t>
    </r>
  </si>
  <si>
    <t>605-1-a</t>
  </si>
  <si>
    <t>沥青路面热熔标线</t>
  </si>
  <si>
    <t>605-6-b</t>
  </si>
  <si>
    <r>
      <t>附着式</t>
    </r>
    <r>
      <rPr>
        <sz val="11"/>
        <rFont val="Arial Narrow"/>
        <family val="2"/>
      </rPr>
      <t>De-Rbw-e</t>
    </r>
    <r>
      <rPr>
        <sz val="11"/>
        <rFont val="宋体"/>
        <family val="0"/>
      </rPr>
      <t>轮廓标</t>
    </r>
  </si>
  <si>
    <t>变更金额小计</t>
  </si>
  <si>
    <t>变更金额合计</t>
  </si>
  <si>
    <t>总监理工程师</t>
  </si>
  <si>
    <r>
      <t>签名</t>
    </r>
    <r>
      <rPr>
        <sz val="15"/>
        <rFont val="Arial Narrow"/>
        <family val="2"/>
      </rPr>
      <t>(</t>
    </r>
    <r>
      <rPr>
        <sz val="15"/>
        <rFont val="宋体"/>
        <family val="0"/>
      </rPr>
      <t>盖章）：</t>
    </r>
  </si>
  <si>
    <r>
      <t>日期：</t>
    </r>
    <r>
      <rPr>
        <sz val="15"/>
        <rFont val="Arial Narrow"/>
        <family val="2"/>
      </rPr>
      <t xml:space="preserve">       </t>
    </r>
    <r>
      <rPr>
        <sz val="15"/>
        <rFont val="宋体"/>
        <family val="0"/>
      </rPr>
      <t>年</t>
    </r>
    <r>
      <rPr>
        <sz val="15"/>
        <rFont val="Arial Narrow"/>
        <family val="2"/>
      </rPr>
      <t xml:space="preserve">      </t>
    </r>
    <r>
      <rPr>
        <sz val="15"/>
        <rFont val="宋体"/>
        <family val="0"/>
      </rPr>
      <t>月</t>
    </r>
    <r>
      <rPr>
        <sz val="15"/>
        <rFont val="Arial Narrow"/>
        <family val="2"/>
      </rPr>
      <t xml:space="preserve">     </t>
    </r>
    <r>
      <rPr>
        <sz val="15"/>
        <rFont val="宋体"/>
        <family val="0"/>
      </rPr>
      <t>日</t>
    </r>
  </si>
  <si>
    <t>代建业主</t>
  </si>
  <si>
    <r>
      <t>承</t>
    </r>
    <r>
      <rPr>
        <sz val="15"/>
        <rFont val="Arial Narrow"/>
        <family val="2"/>
      </rPr>
      <t xml:space="preserve"> </t>
    </r>
    <r>
      <rPr>
        <sz val="15"/>
        <rFont val="宋体"/>
        <family val="0"/>
      </rPr>
      <t>包</t>
    </r>
    <r>
      <rPr>
        <sz val="15"/>
        <rFont val="Arial Narrow"/>
        <family val="2"/>
      </rPr>
      <t xml:space="preserve"> </t>
    </r>
    <r>
      <rPr>
        <sz val="15"/>
        <rFont val="宋体"/>
        <family val="0"/>
      </rPr>
      <t>人</t>
    </r>
  </si>
  <si>
    <t>送审</t>
  </si>
  <si>
    <t>审核</t>
  </si>
  <si>
    <r>
      <t>审核增</t>
    </r>
    <r>
      <rPr>
        <b/>
        <sz val="11"/>
        <rFont val="Arial Narrow"/>
        <family val="2"/>
      </rPr>
      <t>/</t>
    </r>
    <r>
      <rPr>
        <b/>
        <sz val="11"/>
        <rFont val="宋体"/>
        <family val="0"/>
      </rPr>
      <t>减</t>
    </r>
  </si>
  <si>
    <t>备注</t>
  </si>
  <si>
    <t>合同单价（元）</t>
  </si>
  <si>
    <t>变更增减</t>
  </si>
  <si>
    <t>数量</t>
  </si>
  <si>
    <t>金额（元）</t>
  </si>
  <si>
    <t>工程设计变更数量计算书</t>
  </si>
  <si>
    <r>
      <t>编</t>
    </r>
    <r>
      <rPr>
        <sz val="13"/>
        <rFont val="Arial Narrow"/>
        <family val="2"/>
      </rPr>
      <t xml:space="preserve">    </t>
    </r>
    <r>
      <rPr>
        <sz val="13"/>
        <rFont val="宋体"/>
        <family val="0"/>
      </rPr>
      <t>号：</t>
    </r>
  </si>
  <si>
    <t>详见后附工程量计算表</t>
  </si>
  <si>
    <t>人员</t>
  </si>
  <si>
    <t>承包人</t>
  </si>
  <si>
    <t>总监办</t>
  </si>
  <si>
    <t>设计代表</t>
  </si>
  <si>
    <t>指挥部</t>
  </si>
  <si>
    <t>业主</t>
  </si>
  <si>
    <t>签名</t>
  </si>
  <si>
    <t>日期</t>
  </si>
  <si>
    <t>工程设计变更现场签认单</t>
  </si>
  <si>
    <t>施工单位：</t>
  </si>
  <si>
    <r>
      <t>编</t>
    </r>
    <r>
      <rPr>
        <sz val="16"/>
        <rFont val="Arial Narrow"/>
        <family val="2"/>
      </rPr>
      <t xml:space="preserve">      </t>
    </r>
    <r>
      <rPr>
        <sz val="16"/>
        <rFont val="宋体"/>
        <family val="0"/>
      </rPr>
      <t>号：</t>
    </r>
  </si>
  <si>
    <t>变更工程名称及里程</t>
  </si>
  <si>
    <r>
      <t>K34+300</t>
    </r>
    <r>
      <rPr>
        <sz val="16"/>
        <rFont val="宋体"/>
        <family val="0"/>
      </rPr>
      <t>～</t>
    </r>
    <r>
      <rPr>
        <sz val="16"/>
        <rFont val="Arial Narrow"/>
        <family val="2"/>
      </rPr>
      <t>K35+420</t>
    </r>
    <r>
      <rPr>
        <sz val="16"/>
        <rFont val="宋体"/>
        <family val="0"/>
      </rPr>
      <t>段暂缓实施</t>
    </r>
  </si>
  <si>
    <t>日期：</t>
  </si>
  <si>
    <t>变更理由及内容：</t>
  </si>
  <si>
    <r>
      <t xml:space="preserve">    
    </t>
    </r>
    <r>
      <rPr>
        <sz val="16"/>
        <rFont val="宋体"/>
        <family val="0"/>
      </rPr>
      <t>由于该路段的施工图设计和拆除重建的南珠桥施工图设计不符合定海大桥的总体规划设计，且定海大桥近期将实施建设，故建议该路段（包括拆除重建的南珠桥）的施工暂缓实施。</t>
    </r>
  </si>
  <si>
    <t>影响工期和造价情况：</t>
  </si>
  <si>
    <r>
      <t>不影响整体工期，工程造价减少6</t>
    </r>
    <r>
      <rPr>
        <sz val="16"/>
        <rFont val="宋体"/>
        <family val="0"/>
      </rPr>
      <t>373256元</t>
    </r>
  </si>
  <si>
    <t>承包单位</t>
  </si>
  <si>
    <t>监理单位</t>
  </si>
  <si>
    <t>代建单位</t>
  </si>
  <si>
    <t>业主代表</t>
  </si>
  <si>
    <t>防护工程数量表</t>
  </si>
  <si>
    <t>起讫桩号</t>
  </si>
  <si>
    <t>位置</t>
  </si>
  <si>
    <r>
      <t>长度
（</t>
    </r>
    <r>
      <rPr>
        <sz val="10"/>
        <rFont val="Arial Narrow"/>
        <family val="2"/>
      </rPr>
      <t>m</t>
    </r>
    <r>
      <rPr>
        <sz val="10"/>
        <rFont val="宋体"/>
        <family val="0"/>
      </rPr>
      <t>）</t>
    </r>
  </si>
  <si>
    <t>边坡</t>
  </si>
  <si>
    <t>护脚墙、路肩墙</t>
  </si>
  <si>
    <t>锥坡</t>
  </si>
  <si>
    <t>挡墙</t>
  </si>
  <si>
    <t>换填数量</t>
  </si>
  <si>
    <t>边坡植草</t>
  </si>
  <si>
    <r>
      <t>M7.5</t>
    </r>
    <r>
      <rPr>
        <sz val="10"/>
        <rFont val="宋体"/>
        <family val="0"/>
      </rPr>
      <t>浆砌片石</t>
    </r>
  </si>
  <si>
    <r>
      <t>M10</t>
    </r>
    <r>
      <rPr>
        <sz val="10"/>
        <rFont val="宋体"/>
        <family val="0"/>
      </rPr>
      <t>砂浆抹面</t>
    </r>
  </si>
  <si>
    <r>
      <t>M10</t>
    </r>
    <r>
      <rPr>
        <sz val="10"/>
        <rFont val="宋体"/>
        <family val="0"/>
      </rPr>
      <t>砂浆勾缝</t>
    </r>
  </si>
  <si>
    <t>挖土方</t>
  </si>
  <si>
    <t>碎石砂垫层</t>
  </si>
  <si>
    <t>砌体</t>
  </si>
  <si>
    <r>
      <t>Φ5PVC</t>
    </r>
    <r>
      <rPr>
        <sz val="10"/>
        <rFont val="宋体"/>
        <family val="0"/>
      </rPr>
      <t>管</t>
    </r>
  </si>
  <si>
    <t>碎石</t>
  </si>
  <si>
    <t>挖基土方</t>
  </si>
  <si>
    <t>回填碎石砂</t>
  </si>
  <si>
    <t>挖除土方</t>
  </si>
  <si>
    <r>
      <t>m</t>
    </r>
    <r>
      <rPr>
        <vertAlign val="superscript"/>
        <sz val="10"/>
        <rFont val="Arial Narrow"/>
        <family val="2"/>
      </rPr>
      <t>3</t>
    </r>
  </si>
  <si>
    <r>
      <t>m</t>
    </r>
    <r>
      <rPr>
        <vertAlign val="superscript"/>
        <sz val="10"/>
        <rFont val="Arial Narrow"/>
        <family val="2"/>
      </rPr>
      <t>2</t>
    </r>
  </si>
  <si>
    <t>左侧</t>
  </si>
  <si>
    <t>右侧</t>
  </si>
  <si>
    <t>合计</t>
  </si>
  <si>
    <t>排水工程数量表</t>
  </si>
  <si>
    <t>矩形带盖板暗沟</t>
  </si>
  <si>
    <t>梯形边沟</t>
  </si>
  <si>
    <t>边沟及平台植草</t>
  </si>
  <si>
    <t>边沟端部</t>
  </si>
  <si>
    <t>边沟出水口</t>
  </si>
  <si>
    <t>出水口端部</t>
  </si>
  <si>
    <t>暗沟长度</t>
  </si>
  <si>
    <r>
      <t>C30</t>
    </r>
    <r>
      <rPr>
        <sz val="10"/>
        <rFont val="宋体"/>
        <family val="0"/>
      </rPr>
      <t>预制混凝土盖板</t>
    </r>
  </si>
  <si>
    <r>
      <t>R235</t>
    </r>
    <r>
      <rPr>
        <sz val="10"/>
        <rFont val="宋体"/>
        <family val="0"/>
      </rPr>
      <t>钢筋</t>
    </r>
  </si>
  <si>
    <r>
      <t>HRB 235</t>
    </r>
    <r>
      <rPr>
        <sz val="10"/>
        <rFont val="宋体"/>
        <family val="0"/>
      </rPr>
      <t>钢筋</t>
    </r>
  </si>
  <si>
    <r>
      <t>C20</t>
    </r>
    <r>
      <rPr>
        <sz val="10"/>
        <rFont val="宋体"/>
        <family val="0"/>
      </rPr>
      <t>现浇混凝土台帽</t>
    </r>
  </si>
  <si>
    <t>油毡纸</t>
  </si>
  <si>
    <t>沥青膏</t>
  </si>
  <si>
    <t>边沟长度</t>
  </si>
  <si>
    <r>
      <t>第三册四分册</t>
    </r>
    <r>
      <rPr>
        <sz val="8"/>
        <rFont val="Arial Narrow"/>
        <family val="2"/>
      </rPr>
      <t>106</t>
    </r>
    <r>
      <rPr>
        <sz val="8"/>
        <rFont val="宋体"/>
        <family val="0"/>
      </rPr>
      <t>页</t>
    </r>
  </si>
  <si>
    <t>平交口</t>
  </si>
  <si>
    <t>左</t>
  </si>
  <si>
    <t>右</t>
  </si>
  <si>
    <t>水泥混凝土路面工程数量表（含平交口）</t>
  </si>
  <si>
    <t>长度</t>
  </si>
  <si>
    <r>
      <t>24</t>
    </r>
    <r>
      <rPr>
        <sz val="10"/>
        <rFont val="宋体"/>
        <family val="0"/>
      </rPr>
      <t>水泥混凝土路面</t>
    </r>
  </si>
  <si>
    <t>沥青封层</t>
  </si>
  <si>
    <r>
      <t>20</t>
    </r>
    <r>
      <rPr>
        <sz val="10"/>
        <rFont val="宋体"/>
        <family val="0"/>
      </rPr>
      <t>水泥稳定碎石基层</t>
    </r>
  </si>
  <si>
    <r>
      <t>20</t>
    </r>
    <r>
      <rPr>
        <sz val="10"/>
        <rFont val="宋体"/>
        <family val="0"/>
      </rPr>
      <t>级配碎石底基层</t>
    </r>
  </si>
  <si>
    <r>
      <t>15</t>
    </r>
    <r>
      <rPr>
        <sz val="10"/>
        <rFont val="宋体"/>
        <family val="0"/>
      </rPr>
      <t>级配碎石底基层</t>
    </r>
  </si>
  <si>
    <r>
      <t>0-10</t>
    </r>
    <r>
      <rPr>
        <sz val="10"/>
        <rFont val="宋体"/>
        <family val="0"/>
      </rPr>
      <t>级配碎石调平底基层</t>
    </r>
  </si>
  <si>
    <r>
      <t>钢筋</t>
    </r>
    <r>
      <rPr>
        <sz val="10"/>
        <rFont val="Arial Narrow"/>
        <family val="2"/>
      </rPr>
      <t>HPB235</t>
    </r>
  </si>
  <si>
    <r>
      <t>钢筋</t>
    </r>
    <r>
      <rPr>
        <sz val="10"/>
        <rFont val="Arial Narrow"/>
        <family val="2"/>
      </rPr>
      <t>HRB335</t>
    </r>
  </si>
  <si>
    <t>路肩</t>
  </si>
  <si>
    <t>热熔标线</t>
  </si>
  <si>
    <r>
      <t>18cmc30</t>
    </r>
    <r>
      <rPr>
        <sz val="10"/>
        <rFont val="宋体"/>
        <family val="0"/>
      </rPr>
      <t>水泥混凝土</t>
    </r>
  </si>
  <si>
    <r>
      <t>15cm</t>
    </r>
    <r>
      <rPr>
        <sz val="10"/>
        <rFont val="宋体"/>
        <family val="0"/>
      </rPr>
      <t>级配碎石基层</t>
    </r>
  </si>
  <si>
    <t>路肩培土</t>
  </si>
  <si>
    <t>车行道边缘线</t>
  </si>
  <si>
    <t>路面中心线</t>
  </si>
  <si>
    <t>导流或人行到斑马线</t>
  </si>
  <si>
    <r>
      <t>18cm</t>
    </r>
    <r>
      <rPr>
        <sz val="10"/>
        <rFont val="宋体"/>
        <family val="0"/>
      </rPr>
      <t>水泥混凝土面层</t>
    </r>
  </si>
  <si>
    <t>路基填土方</t>
  </si>
  <si>
    <t>宽</t>
  </si>
  <si>
    <r>
      <t>漫水路段扣除南珠桥长</t>
    </r>
    <r>
      <rPr>
        <sz val="10"/>
        <rFont val="Arial Narrow"/>
        <family val="2"/>
      </rPr>
      <t>36</t>
    </r>
    <r>
      <rPr>
        <sz val="10"/>
        <rFont val="宋体"/>
        <family val="0"/>
      </rPr>
      <t>米</t>
    </r>
  </si>
  <si>
    <t>漫水路段</t>
  </si>
  <si>
    <r>
      <t>漫水路段路面宽</t>
    </r>
    <r>
      <rPr>
        <sz val="10"/>
        <rFont val="Arial Narrow"/>
        <family val="2"/>
      </rPr>
      <t>8.5m</t>
    </r>
    <r>
      <rPr>
        <sz val="10"/>
        <rFont val="宋体"/>
        <family val="0"/>
      </rPr>
      <t>，扣除桥长</t>
    </r>
    <r>
      <rPr>
        <sz val="10"/>
        <rFont val="Arial Narrow"/>
        <family val="2"/>
      </rPr>
      <t>80</t>
    </r>
    <r>
      <rPr>
        <sz val="10"/>
        <rFont val="宋体"/>
        <family val="0"/>
      </rPr>
      <t>米</t>
    </r>
  </si>
  <si>
    <t>南珠桥</t>
  </si>
  <si>
    <t>特殊路基工程数量表</t>
  </si>
  <si>
    <r>
      <t>挖除沥青面层（平均</t>
    </r>
    <r>
      <rPr>
        <sz val="12"/>
        <rFont val="Arial Narrow"/>
        <family val="2"/>
      </rPr>
      <t>3cm</t>
    </r>
    <r>
      <rPr>
        <sz val="12"/>
        <rFont val="宋体"/>
        <family val="0"/>
      </rPr>
      <t>厚）</t>
    </r>
  </si>
  <si>
    <t>填前及路槽压实</t>
  </si>
  <si>
    <r>
      <t>换填粗砂（</t>
    </r>
    <r>
      <rPr>
        <sz val="12"/>
        <rFont val="Arial Narrow"/>
        <family val="2"/>
      </rPr>
      <t>60cm</t>
    </r>
    <r>
      <rPr>
        <sz val="12"/>
        <rFont val="宋体"/>
        <family val="0"/>
      </rPr>
      <t>厚）</t>
    </r>
  </si>
  <si>
    <t>桥头路基处理工程数量表</t>
  </si>
  <si>
    <t>桩号</t>
  </si>
  <si>
    <t>构造物名称</t>
  </si>
  <si>
    <t>结构物与路线交角</t>
  </si>
  <si>
    <t>U形锚钉</t>
  </si>
  <si>
    <t>土工格栅</t>
  </si>
  <si>
    <t>回填砂砾土</t>
  </si>
  <si>
    <t>挖台阶</t>
  </si>
  <si>
    <t>挖台阶增加砂砾土</t>
  </si>
  <si>
    <t>度</t>
  </si>
  <si>
    <t>Kg</t>
  </si>
  <si>
    <t>交安设施工程数量表</t>
  </si>
  <si>
    <r>
      <t>长度（</t>
    </r>
    <r>
      <rPr>
        <sz val="11"/>
        <rFont val="Arial Narrow"/>
        <family val="2"/>
      </rPr>
      <t>m</t>
    </r>
    <r>
      <rPr>
        <sz val="11"/>
        <rFont val="宋体"/>
        <family val="0"/>
      </rPr>
      <t>）</t>
    </r>
  </si>
  <si>
    <r>
      <t xml:space="preserve">波形护栏
</t>
    </r>
    <r>
      <rPr>
        <sz val="11"/>
        <rFont val="Arial Narrow"/>
        <family val="2"/>
      </rPr>
      <t>Gr-A-4E</t>
    </r>
  </si>
  <si>
    <t>地锚式端头</t>
  </si>
  <si>
    <t>半圆式端头</t>
  </si>
  <si>
    <t>附着式轮廓标</t>
  </si>
  <si>
    <r>
      <t>标志牌
□</t>
    </r>
    <r>
      <rPr>
        <sz val="11"/>
        <rFont val="Arial Narrow"/>
        <family val="2"/>
      </rPr>
      <t>140×120</t>
    </r>
  </si>
  <si>
    <r>
      <t>△</t>
    </r>
    <r>
      <rPr>
        <sz val="11"/>
        <rFont val="Arial Narrow"/>
        <family val="2"/>
      </rPr>
      <t>900+</t>
    </r>
    <r>
      <rPr>
        <sz val="11"/>
        <rFont val="宋体"/>
        <family val="0"/>
      </rPr>
      <t>○</t>
    </r>
    <r>
      <rPr>
        <sz val="11"/>
        <rFont val="Arial Narrow"/>
        <family val="2"/>
      </rPr>
      <t>1000</t>
    </r>
    <r>
      <rPr>
        <sz val="11"/>
        <rFont val="宋体"/>
        <family val="0"/>
      </rPr>
      <t>单柱铝合金标志牌</t>
    </r>
  </si>
  <si>
    <r>
      <t>标志牌
○</t>
    </r>
    <r>
      <rPr>
        <sz val="11"/>
        <rFont val="Arial Narrow"/>
        <family val="2"/>
      </rPr>
      <t>100</t>
    </r>
  </si>
  <si>
    <r>
      <t>标志牌
△</t>
    </r>
    <r>
      <rPr>
        <sz val="11"/>
        <rFont val="Arial Narrow"/>
        <family val="2"/>
      </rPr>
      <t>90</t>
    </r>
  </si>
  <si>
    <t>路基土石方工程数量表</t>
  </si>
  <si>
    <r>
      <t>距离（</t>
    </r>
    <r>
      <rPr>
        <sz val="11"/>
        <rFont val="Arial Narrow"/>
        <family val="2"/>
      </rPr>
      <t>m</t>
    </r>
    <r>
      <rPr>
        <sz val="11"/>
        <rFont val="宋体"/>
        <family val="0"/>
      </rPr>
      <t>）</t>
    </r>
  </si>
  <si>
    <r>
      <t>挖土方（</t>
    </r>
    <r>
      <rPr>
        <sz val="11"/>
        <rFont val="Arial Narrow"/>
        <family val="2"/>
      </rPr>
      <t>m3</t>
    </r>
    <r>
      <rPr>
        <sz val="11"/>
        <rFont val="宋体"/>
        <family val="0"/>
      </rPr>
      <t>）</t>
    </r>
  </si>
  <si>
    <t>填方</t>
  </si>
  <si>
    <r>
      <t>弃方（</t>
    </r>
    <r>
      <rPr>
        <sz val="11"/>
        <rFont val="Arial Narrow"/>
        <family val="2"/>
      </rPr>
      <t>m3</t>
    </r>
    <r>
      <rPr>
        <sz val="11"/>
        <rFont val="宋体"/>
        <family val="0"/>
      </rPr>
      <t>）</t>
    </r>
  </si>
  <si>
    <r>
      <t>利用方（</t>
    </r>
    <r>
      <rPr>
        <sz val="11"/>
        <rFont val="Arial Narrow"/>
        <family val="2"/>
      </rPr>
      <t>m3</t>
    </r>
    <r>
      <rPr>
        <sz val="11"/>
        <rFont val="宋体"/>
        <family val="0"/>
      </rPr>
      <t>）</t>
    </r>
  </si>
  <si>
    <r>
      <t>借方（</t>
    </r>
    <r>
      <rPr>
        <sz val="11"/>
        <rFont val="Arial Narrow"/>
        <family val="2"/>
      </rPr>
      <t>m3</t>
    </r>
    <r>
      <rPr>
        <sz val="11"/>
        <rFont val="宋体"/>
        <family val="0"/>
      </rPr>
      <t>）</t>
    </r>
  </si>
  <si>
    <t>桥梁</t>
  </si>
  <si>
    <r>
      <t>K34+445</t>
    </r>
    <r>
      <rPr>
        <b/>
        <sz val="22"/>
        <rFont val="仿宋_GB2312"/>
        <family val="3"/>
      </rPr>
      <t>南珠桥全桥主要材料及工程数量表</t>
    </r>
  </si>
  <si>
    <r>
      <t>名</t>
    </r>
    <r>
      <rPr>
        <sz val="9"/>
        <rFont val="Arial Narrow"/>
        <family val="2"/>
      </rPr>
      <t xml:space="preserve">  </t>
    </r>
    <r>
      <rPr>
        <sz val="9"/>
        <rFont val="仿宋_GB2312"/>
        <family val="3"/>
      </rPr>
      <t>称</t>
    </r>
  </si>
  <si>
    <r>
      <t>规</t>
    </r>
    <r>
      <rPr>
        <sz val="9"/>
        <rFont val="Arial Narrow"/>
        <family val="2"/>
      </rPr>
      <t xml:space="preserve">   </t>
    </r>
    <r>
      <rPr>
        <sz val="9"/>
        <rFont val="仿宋_GB2312"/>
        <family val="3"/>
      </rPr>
      <t>格</t>
    </r>
  </si>
  <si>
    <r>
      <t>单</t>
    </r>
    <r>
      <rPr>
        <sz val="9"/>
        <rFont val="Arial Narrow"/>
        <family val="2"/>
      </rPr>
      <t xml:space="preserve">  </t>
    </r>
    <r>
      <rPr>
        <sz val="9"/>
        <rFont val="仿宋_GB2312"/>
        <family val="3"/>
      </rPr>
      <t>位</t>
    </r>
  </si>
  <si>
    <r>
      <t>上</t>
    </r>
    <r>
      <rPr>
        <sz val="9"/>
        <rFont val="Arial Narrow"/>
        <family val="2"/>
      </rPr>
      <t xml:space="preserve">     </t>
    </r>
    <r>
      <rPr>
        <sz val="9"/>
        <rFont val="仿宋_GB2312"/>
        <family val="3"/>
      </rPr>
      <t>部</t>
    </r>
    <r>
      <rPr>
        <sz val="9"/>
        <rFont val="Arial Narrow"/>
        <family val="2"/>
      </rPr>
      <t xml:space="preserve">    </t>
    </r>
    <r>
      <rPr>
        <sz val="9"/>
        <rFont val="仿宋_GB2312"/>
        <family val="3"/>
      </rPr>
      <t>构</t>
    </r>
    <r>
      <rPr>
        <sz val="9"/>
        <rFont val="Arial Narrow"/>
        <family val="2"/>
      </rPr>
      <t xml:space="preserve">    </t>
    </r>
    <r>
      <rPr>
        <sz val="9"/>
        <rFont val="仿宋_GB2312"/>
        <family val="3"/>
      </rPr>
      <t>造</t>
    </r>
  </si>
  <si>
    <t>下部构造</t>
  </si>
  <si>
    <t>桥头搭板</t>
  </si>
  <si>
    <t>旧桥拆除</t>
  </si>
  <si>
    <t>桥头路基处理</t>
  </si>
  <si>
    <t>空心板</t>
  </si>
  <si>
    <t>桥面系</t>
  </si>
  <si>
    <t>伸缩缝</t>
  </si>
  <si>
    <t>护栏、支座及其它</t>
  </si>
  <si>
    <t>小计</t>
  </si>
  <si>
    <t>桥墩</t>
  </si>
  <si>
    <t>桥台</t>
  </si>
  <si>
    <t>预制</t>
  </si>
  <si>
    <t>现浇</t>
  </si>
  <si>
    <t>铺装层</t>
  </si>
  <si>
    <t>桥面连续</t>
  </si>
  <si>
    <t>盖梁及挡块</t>
  </si>
  <si>
    <t>墩身</t>
  </si>
  <si>
    <t>系梁</t>
  </si>
  <si>
    <t>桩基础</t>
  </si>
  <si>
    <t>台帽及挡块</t>
  </si>
  <si>
    <t>台身</t>
  </si>
  <si>
    <t>耳背墙</t>
  </si>
  <si>
    <t>承台</t>
  </si>
  <si>
    <t>坡体</t>
  </si>
  <si>
    <t>搭板</t>
  </si>
  <si>
    <t>混凝土</t>
  </si>
  <si>
    <t>C50</t>
  </si>
  <si>
    <r>
      <t>m</t>
    </r>
    <r>
      <rPr>
        <vertAlign val="superscript"/>
        <sz val="9"/>
        <rFont val="Arial Narrow"/>
        <family val="2"/>
      </rPr>
      <t>3</t>
    </r>
  </si>
  <si>
    <t>C40</t>
  </si>
  <si>
    <t>C30</t>
  </si>
  <si>
    <t>C25</t>
  </si>
  <si>
    <r>
      <t>C40</t>
    </r>
    <r>
      <rPr>
        <sz val="9"/>
        <rFont val="仿宋_GB2312"/>
        <family val="3"/>
      </rPr>
      <t>钢纤维混凝土</t>
    </r>
  </si>
  <si>
    <r>
      <t>C50</t>
    </r>
    <r>
      <rPr>
        <sz val="9"/>
        <rFont val="仿宋_GB2312"/>
        <family val="3"/>
      </rPr>
      <t>小石子混凝土</t>
    </r>
  </si>
  <si>
    <r>
      <t>M15</t>
    </r>
    <r>
      <rPr>
        <sz val="9"/>
        <rFont val="仿宋_GB2312"/>
        <family val="3"/>
      </rPr>
      <t>水泥砂浆</t>
    </r>
  </si>
  <si>
    <t>沥青混凝土</t>
  </si>
  <si>
    <r>
      <t>高分子改性</t>
    </r>
    <r>
      <rPr>
        <sz val="9"/>
        <rFont val="Arial Narrow"/>
        <family val="2"/>
      </rPr>
      <t>JS</t>
    </r>
    <r>
      <rPr>
        <sz val="9"/>
        <rFont val="仿宋_GB2312"/>
        <family val="3"/>
      </rPr>
      <t>防水层</t>
    </r>
  </si>
  <si>
    <r>
      <t>m</t>
    </r>
    <r>
      <rPr>
        <vertAlign val="superscript"/>
        <sz val="9"/>
        <rFont val="Arial Narrow"/>
        <family val="2"/>
      </rPr>
      <t>2</t>
    </r>
  </si>
  <si>
    <t>凿毛</t>
  </si>
  <si>
    <r>
      <t>φ</t>
    </r>
    <r>
      <rPr>
        <vertAlign val="superscript"/>
        <sz val="9"/>
        <rFont val="Arial Narrow"/>
        <family val="2"/>
      </rPr>
      <t>s</t>
    </r>
    <r>
      <rPr>
        <sz val="9"/>
        <rFont val="Arial Narrow"/>
        <family val="2"/>
      </rPr>
      <t>15.2</t>
    </r>
    <r>
      <rPr>
        <sz val="9"/>
        <rFont val="仿宋_GB2312"/>
        <family val="3"/>
      </rPr>
      <t>钢铰线</t>
    </r>
  </si>
  <si>
    <t>钢筋</t>
  </si>
  <si>
    <t>R235</t>
  </si>
  <si>
    <t>HRB335</t>
  </si>
  <si>
    <t>钢板</t>
  </si>
  <si>
    <t>400×550×30</t>
  </si>
  <si>
    <t>300×360×30</t>
  </si>
  <si>
    <t>支座</t>
  </si>
  <si>
    <t>GYZ D250</t>
  </si>
  <si>
    <t>GYZF4 D250</t>
  </si>
  <si>
    <t>橡胶块</t>
  </si>
  <si>
    <t>30×30×2cm</t>
  </si>
  <si>
    <t>30×30×3cm</t>
  </si>
  <si>
    <t>20×20×1.5cm</t>
  </si>
  <si>
    <t>锌铁皮</t>
  </si>
  <si>
    <t>385×385×0.25mm</t>
  </si>
  <si>
    <t>钢管</t>
  </si>
  <si>
    <t>38×2.5</t>
  </si>
  <si>
    <r>
      <t>D40</t>
    </r>
    <r>
      <rPr>
        <sz val="9"/>
        <rFont val="仿宋_GB2312"/>
        <family val="3"/>
      </rPr>
      <t>型钢组合伸缩缝</t>
    </r>
  </si>
  <si>
    <t>锚具</t>
  </si>
  <si>
    <r>
      <t>群锚</t>
    </r>
    <r>
      <rPr>
        <sz val="9"/>
        <rFont val="Arial Narrow"/>
        <family val="2"/>
      </rPr>
      <t>15-4</t>
    </r>
  </si>
  <si>
    <t>套</t>
  </si>
  <si>
    <r>
      <t>群锚</t>
    </r>
    <r>
      <rPr>
        <sz val="9"/>
        <rFont val="Arial Narrow"/>
        <family val="2"/>
      </rPr>
      <t>15-5</t>
    </r>
  </si>
  <si>
    <t>波纹管</t>
  </si>
  <si>
    <t>D56</t>
  </si>
  <si>
    <t>D67</t>
  </si>
  <si>
    <t>铸铁泄水管</t>
  </si>
  <si>
    <r>
      <t>80</t>
    </r>
    <r>
      <rPr>
        <sz val="8"/>
        <rFont val="Arial Narrow"/>
        <family val="2"/>
      </rPr>
      <t>×10</t>
    </r>
  </si>
  <si>
    <r>
      <t>φ70×</t>
    </r>
    <r>
      <rPr>
        <sz val="8"/>
        <rFont val="Arial Narrow"/>
        <family val="2"/>
      </rPr>
      <t>6.5</t>
    </r>
  </si>
  <si>
    <r>
      <t>φ5</t>
    </r>
    <r>
      <rPr>
        <sz val="8"/>
        <rFont val="Arial Narrow"/>
        <family val="2"/>
      </rPr>
      <t>7×3.5</t>
    </r>
  </si>
  <si>
    <t>浆砌片石</t>
  </si>
  <si>
    <t>M7.5</t>
  </si>
  <si>
    <t>砂浆勾缝</t>
  </si>
  <si>
    <t>M10</t>
  </si>
  <si>
    <t>砂砾垫层</t>
  </si>
  <si>
    <t>锥心填土</t>
  </si>
  <si>
    <t>砂砾土</t>
  </si>
  <si>
    <t>回填土方</t>
  </si>
  <si>
    <t>挖方</t>
  </si>
  <si>
    <t>土方</t>
  </si>
  <si>
    <t>混凝土拆除</t>
  </si>
  <si>
    <t>圬工拆除</t>
  </si>
  <si>
    <t>变更工程预算审查书</t>
  </si>
  <si>
    <t>（编号：</t>
  </si>
  <si>
    <t>）</t>
  </si>
  <si>
    <t>代建业主：</t>
  </si>
  <si>
    <r>
      <t>业</t>
    </r>
    <r>
      <rPr>
        <sz val="16"/>
        <rFont val="Arial Narrow"/>
        <family val="2"/>
      </rPr>
      <t xml:space="preserve">    </t>
    </r>
    <r>
      <rPr>
        <sz val="16"/>
        <rFont val="仿宋_GB2312"/>
        <family val="3"/>
      </rPr>
      <t>主：</t>
    </r>
  </si>
  <si>
    <r>
      <t>编</t>
    </r>
    <r>
      <rPr>
        <sz val="26"/>
        <rFont val="Arial Narrow"/>
        <family val="2"/>
      </rPr>
      <t xml:space="preserve"> </t>
    </r>
    <r>
      <rPr>
        <sz val="26"/>
        <rFont val="宋体"/>
        <family val="0"/>
      </rPr>
      <t>制</t>
    </r>
    <r>
      <rPr>
        <sz val="26"/>
        <rFont val="Arial Narrow"/>
        <family val="2"/>
      </rPr>
      <t xml:space="preserve"> </t>
    </r>
    <r>
      <rPr>
        <sz val="26"/>
        <rFont val="宋体"/>
        <family val="0"/>
      </rPr>
      <t>说</t>
    </r>
    <r>
      <rPr>
        <sz val="26"/>
        <rFont val="Arial Narrow"/>
        <family val="2"/>
      </rPr>
      <t xml:space="preserve"> </t>
    </r>
    <r>
      <rPr>
        <sz val="26"/>
        <rFont val="宋体"/>
        <family val="0"/>
      </rPr>
      <t>明</t>
    </r>
  </si>
  <si>
    <t>说明：编制说明按编办规定说明</t>
  </si>
  <si>
    <t>变更工程预算审核意见书</t>
  </si>
  <si>
    <r>
      <t>编</t>
    </r>
    <r>
      <rPr>
        <sz val="12"/>
        <rFont val="Arial Narrow"/>
        <family val="2"/>
      </rPr>
      <t xml:space="preserve">    </t>
    </r>
    <r>
      <rPr>
        <sz val="12"/>
        <rFont val="宋体"/>
        <family val="0"/>
      </rPr>
      <t>号：</t>
    </r>
  </si>
  <si>
    <t>变更令编号</t>
  </si>
  <si>
    <t>变更工程名称</t>
  </si>
  <si>
    <t>序号</t>
  </si>
  <si>
    <t>原设计数量</t>
  </si>
  <si>
    <t>变更后数量</t>
  </si>
  <si>
    <t>预算单价</t>
  </si>
  <si>
    <t>下浮比例</t>
  </si>
  <si>
    <t>核准单价</t>
  </si>
  <si>
    <t>核准单价依据及新增工程计量原则说明</t>
  </si>
  <si>
    <r>
      <t>单价分析表（</t>
    </r>
    <r>
      <rPr>
        <b/>
        <sz val="18"/>
        <color indexed="8"/>
        <rFont val="Arial Narrow"/>
        <family val="2"/>
      </rPr>
      <t>08</t>
    </r>
    <r>
      <rPr>
        <b/>
        <sz val="18"/>
        <color indexed="8"/>
        <rFont val="宋体"/>
        <family val="0"/>
      </rPr>
      <t>表格式）</t>
    </r>
  </si>
  <si>
    <t>项目名称：</t>
  </si>
  <si>
    <t>单位：</t>
  </si>
  <si>
    <t>数量：</t>
  </si>
  <si>
    <t>单价：</t>
  </si>
  <si>
    <t>元</t>
  </si>
  <si>
    <t>摊消费：</t>
  </si>
  <si>
    <t/>
  </si>
  <si>
    <r>
      <t>标表</t>
    </r>
    <r>
      <rPr>
        <sz val="11"/>
        <color indexed="8"/>
        <rFont val="Arial Narrow"/>
        <family val="2"/>
      </rPr>
      <t>4-3</t>
    </r>
  </si>
  <si>
    <t>代
号</t>
  </si>
  <si>
    <r>
      <t>工</t>
    </r>
    <r>
      <rPr>
        <sz val="11"/>
        <color indexed="8"/>
        <rFont val="Arial Narrow"/>
        <family val="2"/>
      </rPr>
      <t xml:space="preserve">  </t>
    </r>
    <r>
      <rPr>
        <sz val="11"/>
        <color indexed="8"/>
        <rFont val="宋体"/>
        <family val="0"/>
      </rPr>
      <t>程</t>
    </r>
    <r>
      <rPr>
        <sz val="11"/>
        <color indexed="8"/>
        <rFont val="Arial Narrow"/>
        <family val="2"/>
      </rPr>
      <t xml:space="preserve">  </t>
    </r>
    <r>
      <rPr>
        <sz val="11"/>
        <color indexed="8"/>
        <rFont val="宋体"/>
        <family val="0"/>
      </rPr>
      <t>项</t>
    </r>
    <r>
      <rPr>
        <sz val="11"/>
        <color indexed="8"/>
        <rFont val="Arial Narrow"/>
        <family val="2"/>
      </rPr>
      <t xml:space="preserve">  </t>
    </r>
    <r>
      <rPr>
        <sz val="11"/>
        <color indexed="8"/>
        <rFont val="宋体"/>
        <family val="0"/>
      </rPr>
      <t>目</t>
    </r>
  </si>
  <si>
    <r>
      <t>合</t>
    </r>
    <r>
      <rPr>
        <sz val="11"/>
        <color indexed="8"/>
        <rFont val="Arial Narrow"/>
        <family val="2"/>
      </rPr>
      <t xml:space="preserve">  </t>
    </r>
    <r>
      <rPr>
        <sz val="11"/>
        <color indexed="8"/>
        <rFont val="宋体"/>
        <family val="0"/>
      </rPr>
      <t>计</t>
    </r>
  </si>
  <si>
    <r>
      <t>工</t>
    </r>
    <r>
      <rPr>
        <sz val="11"/>
        <color indexed="8"/>
        <rFont val="Arial Narrow"/>
        <family val="2"/>
      </rPr>
      <t xml:space="preserve">  </t>
    </r>
    <r>
      <rPr>
        <sz val="11"/>
        <color indexed="8"/>
        <rFont val="宋体"/>
        <family val="0"/>
      </rPr>
      <t>程</t>
    </r>
    <r>
      <rPr>
        <sz val="11"/>
        <color indexed="8"/>
        <rFont val="Arial Narrow"/>
        <family val="2"/>
      </rPr>
      <t xml:space="preserve">  </t>
    </r>
    <r>
      <rPr>
        <sz val="11"/>
        <color indexed="8"/>
        <rFont val="宋体"/>
        <family val="0"/>
      </rPr>
      <t>细</t>
    </r>
    <r>
      <rPr>
        <sz val="11"/>
        <color indexed="8"/>
        <rFont val="Arial Narrow"/>
        <family val="2"/>
      </rPr>
      <t xml:space="preserve">  </t>
    </r>
    <r>
      <rPr>
        <sz val="11"/>
        <color indexed="8"/>
        <rFont val="宋体"/>
        <family val="0"/>
      </rPr>
      <t>目</t>
    </r>
  </si>
  <si>
    <r>
      <t>定</t>
    </r>
    <r>
      <rPr>
        <sz val="11"/>
        <color indexed="8"/>
        <rFont val="Arial Narrow"/>
        <family val="2"/>
      </rPr>
      <t xml:space="preserve">  </t>
    </r>
    <r>
      <rPr>
        <sz val="11"/>
        <color indexed="8"/>
        <rFont val="宋体"/>
        <family val="0"/>
      </rPr>
      <t>额</t>
    </r>
    <r>
      <rPr>
        <sz val="11"/>
        <color indexed="8"/>
        <rFont val="Arial Narrow"/>
        <family val="2"/>
      </rPr>
      <t xml:space="preserve">  </t>
    </r>
    <r>
      <rPr>
        <sz val="11"/>
        <color indexed="8"/>
        <rFont val="宋体"/>
        <family val="0"/>
      </rPr>
      <t>单</t>
    </r>
    <r>
      <rPr>
        <sz val="11"/>
        <color indexed="8"/>
        <rFont val="Arial Narrow"/>
        <family val="2"/>
      </rPr>
      <t xml:space="preserve">  </t>
    </r>
    <r>
      <rPr>
        <sz val="11"/>
        <color indexed="8"/>
        <rFont val="宋体"/>
        <family val="0"/>
      </rPr>
      <t>位</t>
    </r>
  </si>
  <si>
    <r>
      <t>工</t>
    </r>
    <r>
      <rPr>
        <sz val="11"/>
        <color indexed="8"/>
        <rFont val="Arial Narrow"/>
        <family val="2"/>
      </rPr>
      <t xml:space="preserve">  </t>
    </r>
    <r>
      <rPr>
        <sz val="11"/>
        <color indexed="8"/>
        <rFont val="宋体"/>
        <family val="0"/>
      </rPr>
      <t>程</t>
    </r>
    <r>
      <rPr>
        <sz val="11"/>
        <color indexed="8"/>
        <rFont val="Arial Narrow"/>
        <family val="2"/>
      </rPr>
      <t xml:space="preserve">  </t>
    </r>
    <r>
      <rPr>
        <sz val="11"/>
        <color indexed="8"/>
        <rFont val="宋体"/>
        <family val="0"/>
      </rPr>
      <t>数</t>
    </r>
    <r>
      <rPr>
        <sz val="11"/>
        <color indexed="8"/>
        <rFont val="Arial Narrow"/>
        <family val="2"/>
      </rPr>
      <t xml:space="preserve">  </t>
    </r>
    <r>
      <rPr>
        <sz val="11"/>
        <color indexed="8"/>
        <rFont val="宋体"/>
        <family val="0"/>
      </rPr>
      <t>量</t>
    </r>
  </si>
  <si>
    <r>
      <t>定</t>
    </r>
    <r>
      <rPr>
        <sz val="11"/>
        <color indexed="8"/>
        <rFont val="Arial Narrow"/>
        <family val="2"/>
      </rPr>
      <t xml:space="preserve">  </t>
    </r>
    <r>
      <rPr>
        <sz val="11"/>
        <color indexed="8"/>
        <rFont val="宋体"/>
        <family val="0"/>
      </rPr>
      <t>额</t>
    </r>
    <r>
      <rPr>
        <sz val="11"/>
        <color indexed="8"/>
        <rFont val="Arial Narrow"/>
        <family val="2"/>
      </rPr>
      <t xml:space="preserve">  </t>
    </r>
    <r>
      <rPr>
        <sz val="11"/>
        <color indexed="8"/>
        <rFont val="宋体"/>
        <family val="0"/>
      </rPr>
      <t>表</t>
    </r>
    <r>
      <rPr>
        <sz val="11"/>
        <color indexed="8"/>
        <rFont val="Arial Narrow"/>
        <family val="2"/>
      </rPr>
      <t xml:space="preserve">  </t>
    </r>
    <r>
      <rPr>
        <sz val="11"/>
        <color indexed="8"/>
        <rFont val="宋体"/>
        <family val="0"/>
      </rPr>
      <t>号</t>
    </r>
  </si>
  <si>
    <t>工料机名称</t>
  </si>
  <si>
    <r>
      <t>单价</t>
    </r>
    <r>
      <rPr>
        <sz val="11"/>
        <color indexed="8"/>
        <rFont val="Arial Narrow"/>
        <family val="2"/>
      </rPr>
      <t>(</t>
    </r>
    <r>
      <rPr>
        <sz val="11"/>
        <color indexed="8"/>
        <rFont val="宋体"/>
        <family val="0"/>
      </rPr>
      <t>元</t>
    </r>
    <r>
      <rPr>
        <sz val="11"/>
        <color indexed="8"/>
        <rFont val="Arial Narrow"/>
        <family val="2"/>
      </rPr>
      <t>)</t>
    </r>
  </si>
  <si>
    <t>定额</t>
  </si>
  <si>
    <r>
      <t>金额</t>
    </r>
    <r>
      <rPr>
        <sz val="11"/>
        <color indexed="8"/>
        <rFont val="Arial Narrow"/>
        <family val="2"/>
      </rPr>
      <t>(</t>
    </r>
    <r>
      <rPr>
        <sz val="11"/>
        <color indexed="8"/>
        <rFont val="宋体"/>
        <family val="0"/>
      </rPr>
      <t>元</t>
    </r>
    <r>
      <rPr>
        <sz val="11"/>
        <color indexed="8"/>
        <rFont val="Arial Narrow"/>
        <family val="2"/>
      </rPr>
      <t>)</t>
    </r>
  </si>
  <si>
    <t>其他材料费</t>
  </si>
  <si>
    <t>其他机械使用费</t>
  </si>
  <si>
    <t>其他工程费</t>
  </si>
  <si>
    <t>其他工程费Ⅰ</t>
  </si>
  <si>
    <t>其他工程费Ⅱ</t>
  </si>
  <si>
    <t>间接费</t>
  </si>
  <si>
    <t>规费</t>
  </si>
  <si>
    <t>企业管理费</t>
  </si>
  <si>
    <t>利润</t>
  </si>
  <si>
    <t>税金</t>
  </si>
  <si>
    <t>单位单价</t>
  </si>
  <si>
    <r>
      <t>每</t>
    </r>
    <r>
      <rPr>
        <sz val="11"/>
        <color indexed="8"/>
        <rFont val="Arial Narrow"/>
        <family val="2"/>
      </rPr>
      <t xml:space="preserve">  </t>
    </r>
    <r>
      <rPr>
        <sz val="11"/>
        <color indexed="8"/>
        <rFont val="宋体"/>
        <family val="0"/>
      </rPr>
      <t>单价</t>
    </r>
  </si>
  <si>
    <r>
      <t>K34+300</t>
    </r>
    <r>
      <rPr>
        <b/>
        <sz val="20"/>
        <rFont val="宋体"/>
        <family val="0"/>
      </rPr>
      <t>～</t>
    </r>
    <r>
      <rPr>
        <b/>
        <sz val="20"/>
        <rFont val="Arial Narrow"/>
        <family val="2"/>
      </rPr>
      <t>K35+420</t>
    </r>
  </si>
  <si>
    <r>
      <t>增加（</t>
    </r>
    <r>
      <rPr>
        <sz val="12"/>
        <rFont val="Arial Narrow"/>
        <family val="2"/>
      </rPr>
      <t>+</t>
    </r>
    <r>
      <rPr>
        <sz val="12"/>
        <rFont val="宋体"/>
        <family val="0"/>
      </rPr>
      <t>）</t>
    </r>
  </si>
  <si>
    <r>
      <t>减少
（</t>
    </r>
    <r>
      <rPr>
        <sz val="12"/>
        <rFont val="Arial Narrow"/>
        <family val="2"/>
      </rPr>
      <t>-</t>
    </r>
    <r>
      <rPr>
        <sz val="12"/>
        <rFont val="宋体"/>
        <family val="0"/>
      </rPr>
      <t>）</t>
    </r>
  </si>
  <si>
    <r>
      <t>沥青混凝土路面（厚</t>
    </r>
    <r>
      <rPr>
        <sz val="12"/>
        <rFont val="Arial Narrow"/>
        <family val="2"/>
      </rPr>
      <t>3cm</t>
    </r>
    <r>
      <rPr>
        <sz val="12"/>
        <rFont val="宋体"/>
        <family val="0"/>
      </rPr>
      <t>）</t>
    </r>
  </si>
  <si>
    <r>
      <t>换填土</t>
    </r>
    <r>
      <rPr>
        <sz val="12"/>
        <rFont val="Arial Narrow"/>
        <family val="2"/>
      </rPr>
      <t>(</t>
    </r>
    <r>
      <rPr>
        <sz val="12"/>
        <rFont val="宋体"/>
        <family val="0"/>
      </rPr>
      <t>砂砾土</t>
    </r>
    <r>
      <rPr>
        <sz val="12"/>
        <rFont val="Arial Narrow"/>
        <family val="2"/>
      </rPr>
      <t>)</t>
    </r>
  </si>
  <si>
    <r>
      <t>边沟</t>
    </r>
    <r>
      <rPr>
        <sz val="12"/>
        <rFont val="Arial Narrow"/>
        <family val="2"/>
      </rPr>
      <t>M7.5</t>
    </r>
    <r>
      <rPr>
        <sz val="12"/>
        <rFont val="宋体"/>
        <family val="0"/>
      </rPr>
      <t xml:space="preserve">浆砌片石
</t>
    </r>
    <r>
      <rPr>
        <sz val="12"/>
        <rFont val="Arial Narrow"/>
        <family val="2"/>
      </rPr>
      <t>(</t>
    </r>
    <r>
      <rPr>
        <sz val="12"/>
        <rFont val="宋体"/>
        <family val="0"/>
      </rPr>
      <t>含出水口</t>
    </r>
    <r>
      <rPr>
        <sz val="12"/>
        <rFont val="Arial Narrow"/>
        <family val="2"/>
      </rPr>
      <t>)</t>
    </r>
  </si>
  <si>
    <r>
      <t>加盖板边沟</t>
    </r>
    <r>
      <rPr>
        <sz val="12"/>
        <rFont val="Arial Narrow"/>
        <family val="2"/>
      </rPr>
      <t xml:space="preserve"> </t>
    </r>
    <r>
      <rPr>
        <sz val="12"/>
        <rFont val="宋体"/>
        <family val="0"/>
      </rPr>
      <t>矩形</t>
    </r>
    <r>
      <rPr>
        <sz val="12"/>
        <rFont val="Arial Narrow"/>
        <family val="2"/>
      </rPr>
      <t>600×600</t>
    </r>
  </si>
  <si>
    <r>
      <t>砌体挡土墙</t>
    </r>
    <r>
      <rPr>
        <sz val="12"/>
        <rFont val="Arial Narrow"/>
        <family val="2"/>
      </rPr>
      <t>M7.5</t>
    </r>
    <r>
      <rPr>
        <sz val="12"/>
        <rFont val="宋体"/>
        <family val="0"/>
      </rPr>
      <t>浆砌片石</t>
    </r>
  </si>
  <si>
    <r>
      <t>M7.5</t>
    </r>
    <r>
      <rPr>
        <sz val="12"/>
        <rFont val="宋体"/>
        <family val="0"/>
      </rPr>
      <t>级浆砌片石锥坡</t>
    </r>
  </si>
  <si>
    <r>
      <t>厚</t>
    </r>
    <r>
      <rPr>
        <sz val="12"/>
        <rFont val="Arial Narrow"/>
        <family val="2"/>
      </rPr>
      <t>200mm</t>
    </r>
    <r>
      <rPr>
        <sz val="12"/>
        <rFont val="宋体"/>
        <family val="0"/>
      </rPr>
      <t>水泥稳定碎石</t>
    </r>
    <r>
      <rPr>
        <sz val="12"/>
        <rFont val="Arial Narrow"/>
        <family val="2"/>
      </rPr>
      <t xml:space="preserve"> </t>
    </r>
  </si>
  <si>
    <r>
      <t>厚</t>
    </r>
    <r>
      <rPr>
        <sz val="12"/>
        <rFont val="Arial Narrow"/>
        <family val="2"/>
      </rPr>
      <t>0</t>
    </r>
    <r>
      <rPr>
        <sz val="12"/>
        <rFont val="宋体"/>
        <family val="0"/>
      </rPr>
      <t>～</t>
    </r>
    <r>
      <rPr>
        <sz val="12"/>
        <rFont val="Arial Narrow"/>
        <family val="2"/>
      </rPr>
      <t>100mm(</t>
    </r>
    <r>
      <rPr>
        <sz val="12"/>
        <rFont val="宋体"/>
        <family val="0"/>
      </rPr>
      <t>调平层</t>
    </r>
    <r>
      <rPr>
        <sz val="12"/>
        <rFont val="Arial Narrow"/>
        <family val="2"/>
      </rPr>
      <t>)</t>
    </r>
  </si>
  <si>
    <r>
      <t>厚</t>
    </r>
    <r>
      <rPr>
        <sz val="12"/>
        <rFont val="Arial Narrow"/>
        <family val="2"/>
      </rPr>
      <t>150mm</t>
    </r>
    <r>
      <rPr>
        <sz val="12"/>
        <rFont val="宋体"/>
        <family val="0"/>
      </rPr>
      <t>及配碎石底基层</t>
    </r>
  </si>
  <si>
    <r>
      <t>厚</t>
    </r>
    <r>
      <rPr>
        <sz val="12"/>
        <rFont val="Arial Narrow"/>
        <family val="2"/>
      </rPr>
      <t>200mm</t>
    </r>
    <r>
      <rPr>
        <sz val="12"/>
        <rFont val="宋体"/>
        <family val="0"/>
      </rPr>
      <t>级配碎石底基层</t>
    </r>
  </si>
  <si>
    <r>
      <t>厚</t>
    </r>
    <r>
      <rPr>
        <sz val="12"/>
        <rFont val="Arial Narrow"/>
        <family val="2"/>
      </rPr>
      <t>150mm(</t>
    </r>
    <r>
      <rPr>
        <sz val="12"/>
        <rFont val="宋体"/>
        <family val="0"/>
      </rPr>
      <t>硬路肩及平交口</t>
    </r>
    <r>
      <rPr>
        <sz val="12"/>
        <rFont val="Arial Narrow"/>
        <family val="2"/>
      </rPr>
      <t>)</t>
    </r>
  </si>
  <si>
    <r>
      <t>厚</t>
    </r>
    <r>
      <rPr>
        <sz val="12"/>
        <rFont val="Arial Narrow"/>
        <family val="2"/>
      </rPr>
      <t>180mm(</t>
    </r>
    <r>
      <rPr>
        <sz val="12"/>
        <rFont val="宋体"/>
        <family val="0"/>
      </rPr>
      <t>混凝土弯拉强度</t>
    </r>
    <r>
      <rPr>
        <sz val="12"/>
        <rFont val="Arial Narrow"/>
        <family val="2"/>
      </rPr>
      <t>4.0MPa)</t>
    </r>
  </si>
  <si>
    <r>
      <t>厚</t>
    </r>
    <r>
      <rPr>
        <sz val="12"/>
        <rFont val="Arial Narrow"/>
        <family val="2"/>
      </rPr>
      <t>240mm(</t>
    </r>
    <r>
      <rPr>
        <sz val="12"/>
        <rFont val="宋体"/>
        <family val="0"/>
      </rPr>
      <t>混凝土弯拉强度</t>
    </r>
    <r>
      <rPr>
        <sz val="12"/>
        <rFont val="Arial Narrow"/>
        <family val="2"/>
      </rPr>
      <t>5.0MPa)</t>
    </r>
  </si>
  <si>
    <r>
      <t>钢筋</t>
    </r>
    <r>
      <rPr>
        <sz val="12"/>
        <rFont val="Arial Narrow"/>
        <family val="2"/>
      </rPr>
      <t>HPB235</t>
    </r>
  </si>
  <si>
    <r>
      <t>钢筋</t>
    </r>
    <r>
      <rPr>
        <sz val="12"/>
        <rFont val="Arial Narrow"/>
        <family val="2"/>
      </rPr>
      <t>HRB335</t>
    </r>
  </si>
  <si>
    <r>
      <t>厚</t>
    </r>
    <r>
      <rPr>
        <sz val="12"/>
        <rFont val="Arial Narrow"/>
        <family val="2"/>
      </rPr>
      <t>180mm</t>
    </r>
    <r>
      <rPr>
        <sz val="12"/>
        <rFont val="宋体"/>
        <family val="0"/>
      </rPr>
      <t>现浇混凝土加固土路肩</t>
    </r>
  </si>
  <si>
    <r>
      <t>基础钢筋光圆钢筋</t>
    </r>
    <r>
      <rPr>
        <sz val="12"/>
        <rFont val="Arial Narrow"/>
        <family val="2"/>
      </rPr>
      <t>(HPB235</t>
    </r>
    <r>
      <rPr>
        <sz val="12"/>
        <rFont val="宋体"/>
        <family val="0"/>
      </rPr>
      <t>、</t>
    </r>
    <r>
      <rPr>
        <sz val="12"/>
        <rFont val="Arial Narrow"/>
        <family val="2"/>
      </rPr>
      <t>HPB300)</t>
    </r>
  </si>
  <si>
    <r>
      <t>基础钢筋带肋钢筋</t>
    </r>
    <r>
      <rPr>
        <sz val="12"/>
        <rFont val="Arial Narrow"/>
        <family val="2"/>
      </rPr>
      <t>(HRB335</t>
    </r>
    <r>
      <rPr>
        <sz val="12"/>
        <rFont val="宋体"/>
        <family val="0"/>
      </rPr>
      <t>、</t>
    </r>
    <r>
      <rPr>
        <sz val="12"/>
        <rFont val="Arial Narrow"/>
        <family val="2"/>
      </rPr>
      <t>HRB400)</t>
    </r>
  </si>
  <si>
    <r>
      <t>下部结构钢筋光圆钢筋</t>
    </r>
    <r>
      <rPr>
        <sz val="12"/>
        <rFont val="Arial Narrow"/>
        <family val="2"/>
      </rPr>
      <t>(HPB235</t>
    </r>
    <r>
      <rPr>
        <sz val="12"/>
        <rFont val="宋体"/>
        <family val="0"/>
      </rPr>
      <t>、</t>
    </r>
    <r>
      <rPr>
        <sz val="12"/>
        <rFont val="Arial Narrow"/>
        <family val="2"/>
      </rPr>
      <t>HPB300)</t>
    </r>
  </si>
  <si>
    <r>
      <t>下部结构钢筋带肋钢筋</t>
    </r>
    <r>
      <rPr>
        <sz val="12"/>
        <rFont val="Arial Narrow"/>
        <family val="2"/>
      </rPr>
      <t>(HRB335</t>
    </r>
    <r>
      <rPr>
        <sz val="12"/>
        <rFont val="宋体"/>
        <family val="0"/>
      </rPr>
      <t>、</t>
    </r>
    <r>
      <rPr>
        <sz val="12"/>
        <rFont val="Arial Narrow"/>
        <family val="2"/>
      </rPr>
      <t>HRB400)</t>
    </r>
  </si>
  <si>
    <r>
      <t>上部结构钢筋光圆钢筋</t>
    </r>
    <r>
      <rPr>
        <sz val="12"/>
        <rFont val="Arial Narrow"/>
        <family val="2"/>
      </rPr>
      <t>(HPB235</t>
    </r>
    <r>
      <rPr>
        <sz val="12"/>
        <rFont val="宋体"/>
        <family val="0"/>
      </rPr>
      <t>、</t>
    </r>
    <r>
      <rPr>
        <sz val="12"/>
        <rFont val="Arial Narrow"/>
        <family val="2"/>
      </rPr>
      <t>HPB300)</t>
    </r>
  </si>
  <si>
    <r>
      <t>上部结构钢筋带肋钢筋</t>
    </r>
    <r>
      <rPr>
        <sz val="12"/>
        <rFont val="Arial Narrow"/>
        <family val="2"/>
      </rPr>
      <t>(HRB335</t>
    </r>
    <r>
      <rPr>
        <sz val="12"/>
        <rFont val="宋体"/>
        <family val="0"/>
      </rPr>
      <t>、</t>
    </r>
    <r>
      <rPr>
        <sz val="12"/>
        <rFont val="Arial Narrow"/>
        <family val="2"/>
      </rPr>
      <t>HRB400)</t>
    </r>
  </si>
  <si>
    <r>
      <t>附属结构钢筋光圆钢筋</t>
    </r>
    <r>
      <rPr>
        <sz val="12"/>
        <rFont val="Arial Narrow"/>
        <family val="2"/>
      </rPr>
      <t>(HPB235</t>
    </r>
    <r>
      <rPr>
        <sz val="12"/>
        <rFont val="宋体"/>
        <family val="0"/>
      </rPr>
      <t>、</t>
    </r>
    <r>
      <rPr>
        <sz val="12"/>
        <rFont val="Arial Narrow"/>
        <family val="2"/>
      </rPr>
      <t>HPB300)</t>
    </r>
  </si>
  <si>
    <r>
      <t>附属结构钢筋带肋钢筋</t>
    </r>
    <r>
      <rPr>
        <sz val="12"/>
        <rFont val="Arial Narrow"/>
        <family val="2"/>
      </rPr>
      <t>(HRB335</t>
    </r>
    <r>
      <rPr>
        <sz val="12"/>
        <rFont val="宋体"/>
        <family val="0"/>
      </rPr>
      <t>、</t>
    </r>
    <r>
      <rPr>
        <sz val="12"/>
        <rFont val="Arial Narrow"/>
        <family val="2"/>
      </rPr>
      <t>HRB400)</t>
    </r>
  </si>
  <si>
    <r>
      <t>钻孔灌注桩○</t>
    </r>
    <r>
      <rPr>
        <sz val="12"/>
        <rFont val="Arial Narrow"/>
        <family val="2"/>
      </rPr>
      <t>1.2m</t>
    </r>
  </si>
  <si>
    <r>
      <t>C30</t>
    </r>
    <r>
      <rPr>
        <sz val="12"/>
        <rFont val="宋体"/>
        <family val="0"/>
      </rPr>
      <t>混凝土承台</t>
    </r>
  </si>
  <si>
    <r>
      <t>C30</t>
    </r>
    <r>
      <rPr>
        <sz val="12"/>
        <rFont val="宋体"/>
        <family val="0"/>
      </rPr>
      <t>混凝土台身</t>
    </r>
    <r>
      <rPr>
        <sz val="12"/>
        <rFont val="Arial Narrow"/>
        <family val="2"/>
      </rPr>
      <t>(</t>
    </r>
    <r>
      <rPr>
        <sz val="12"/>
        <rFont val="宋体"/>
        <family val="0"/>
      </rPr>
      <t>肋台、扶壁台</t>
    </r>
    <r>
      <rPr>
        <sz val="12"/>
        <rFont val="Arial Narrow"/>
        <family val="2"/>
      </rPr>
      <t>)</t>
    </r>
  </si>
  <si>
    <r>
      <t>C30</t>
    </r>
    <r>
      <rPr>
        <sz val="12"/>
        <rFont val="宋体"/>
        <family val="0"/>
      </rPr>
      <t>混凝土台帽</t>
    </r>
  </si>
  <si>
    <r>
      <t>C30</t>
    </r>
    <r>
      <rPr>
        <sz val="12"/>
        <rFont val="宋体"/>
        <family val="0"/>
      </rPr>
      <t>混凝土耳背墙</t>
    </r>
  </si>
  <si>
    <r>
      <t>C30</t>
    </r>
    <r>
      <rPr>
        <sz val="12"/>
        <rFont val="宋体"/>
        <family val="0"/>
      </rPr>
      <t>混凝土搭板</t>
    </r>
  </si>
  <si>
    <r>
      <t>C30</t>
    </r>
    <r>
      <rPr>
        <sz val="12"/>
        <rFont val="宋体"/>
        <family val="0"/>
      </rPr>
      <t>混凝土墙式护栏</t>
    </r>
  </si>
  <si>
    <r>
      <t>C50</t>
    </r>
    <r>
      <rPr>
        <sz val="12"/>
        <rFont val="宋体"/>
        <family val="0"/>
      </rPr>
      <t>混凝土支座</t>
    </r>
  </si>
  <si>
    <r>
      <t>C40</t>
    </r>
    <r>
      <rPr>
        <sz val="12"/>
        <rFont val="宋体"/>
        <family val="0"/>
      </rPr>
      <t>混凝土空心板</t>
    </r>
  </si>
  <si>
    <r>
      <t>C50</t>
    </r>
    <r>
      <rPr>
        <sz val="12"/>
        <rFont val="宋体"/>
        <family val="0"/>
      </rPr>
      <t>混凝土空心板</t>
    </r>
  </si>
  <si>
    <r>
      <t>M7.5</t>
    </r>
    <r>
      <rPr>
        <sz val="12"/>
        <rFont val="宋体"/>
        <family val="0"/>
      </rPr>
      <t>浆砌片石</t>
    </r>
  </si>
  <si>
    <r>
      <t xml:space="preserve"> </t>
    </r>
    <r>
      <rPr>
        <sz val="12"/>
        <rFont val="宋体"/>
        <family val="0"/>
      </rPr>
      <t>厚</t>
    </r>
    <r>
      <rPr>
        <sz val="12"/>
        <rFont val="Arial Narrow"/>
        <family val="2"/>
      </rPr>
      <t>100mm</t>
    </r>
    <r>
      <rPr>
        <sz val="12"/>
        <rFont val="宋体"/>
        <family val="0"/>
      </rPr>
      <t>沥青混凝土桥面铺装</t>
    </r>
  </si>
  <si>
    <r>
      <t>C50</t>
    </r>
    <r>
      <rPr>
        <sz val="12"/>
        <rFont val="宋体"/>
        <family val="0"/>
      </rPr>
      <t>级混凝土</t>
    </r>
    <r>
      <rPr>
        <sz val="12"/>
        <rFont val="Arial Narrow"/>
        <family val="2"/>
      </rPr>
      <t>(</t>
    </r>
    <r>
      <rPr>
        <sz val="12"/>
        <rFont val="宋体"/>
        <family val="0"/>
      </rPr>
      <t>含绞缝</t>
    </r>
    <r>
      <rPr>
        <sz val="12"/>
        <rFont val="Arial Narrow"/>
        <family val="2"/>
      </rPr>
      <t>)</t>
    </r>
  </si>
  <si>
    <r>
      <t>高分子改性</t>
    </r>
    <r>
      <rPr>
        <sz val="12"/>
        <rFont val="Arial Narrow"/>
        <family val="2"/>
      </rPr>
      <t>JS</t>
    </r>
    <r>
      <rPr>
        <sz val="12"/>
        <rFont val="宋体"/>
        <family val="0"/>
      </rPr>
      <t>防水层</t>
    </r>
  </si>
  <si>
    <r>
      <t>GYZ 250×56</t>
    </r>
    <r>
      <rPr>
        <sz val="12"/>
        <rFont val="宋体"/>
        <family val="0"/>
      </rPr>
      <t>园形板式橡胶支座</t>
    </r>
  </si>
  <si>
    <r>
      <t>D40</t>
    </r>
    <r>
      <rPr>
        <sz val="12"/>
        <rFont val="宋体"/>
        <family val="0"/>
      </rPr>
      <t>型钢组合伸缩缝</t>
    </r>
  </si>
  <si>
    <r>
      <t>Gr-A-4E</t>
    </r>
    <r>
      <rPr>
        <sz val="12"/>
        <rFont val="宋体"/>
        <family val="0"/>
      </rPr>
      <t>单面波形梁钢护栏</t>
    </r>
  </si>
  <si>
    <r>
      <t>△</t>
    </r>
    <r>
      <rPr>
        <sz val="12"/>
        <rFont val="Arial Narrow"/>
        <family val="2"/>
      </rPr>
      <t>900</t>
    </r>
    <r>
      <rPr>
        <sz val="12"/>
        <rFont val="宋体"/>
        <family val="0"/>
      </rPr>
      <t>单柱铝合金标志牌</t>
    </r>
  </si>
  <si>
    <r>
      <t>□</t>
    </r>
    <r>
      <rPr>
        <sz val="12"/>
        <rFont val="Arial Narrow"/>
        <family val="2"/>
      </rPr>
      <t>1400×1200</t>
    </r>
    <r>
      <rPr>
        <sz val="12"/>
        <rFont val="宋体"/>
        <family val="0"/>
      </rPr>
      <t>单柱铝合金标志牌</t>
    </r>
  </si>
  <si>
    <r>
      <t>附着式</t>
    </r>
    <r>
      <rPr>
        <sz val="12"/>
        <rFont val="Arial Narrow"/>
        <family val="2"/>
      </rPr>
      <t>De-Rbw-e</t>
    </r>
    <r>
      <rPr>
        <sz val="12"/>
        <rFont val="宋体"/>
        <family val="0"/>
      </rPr>
      <t>轮廓标</t>
    </r>
  </si>
  <si>
    <t>工程设计变更审核表</t>
  </si>
  <si>
    <t>附件</t>
  </si>
  <si>
    <t>合计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</si>
</sst>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K0\+000\~\K0\+000"/>
    <numFmt numFmtId="179" formatCode="0.00_);[Red]\(0.00\)"/>
    <numFmt numFmtId="180" formatCode="0.0_);[Red]\(0.0\)"/>
    <numFmt numFmtId="181" formatCode="0_);[Red]\(0\)"/>
    <numFmt numFmtId="182" formatCode="0.0_ "/>
    <numFmt numFmtId="183" formatCode="\K0\+000.00"/>
    <numFmt numFmtId="184" formatCode="\K0\+000"/>
    <numFmt numFmtId="185" formatCode="\K0\+000.0"/>
  </numFmts>
  <fonts count="76">
    <font>
      <sz val="12"/>
      <name val="宋体"/>
      <family val="0"/>
    </font>
    <font>
      <sz val="11"/>
      <color indexed="8"/>
      <name val="宋体"/>
      <family val="0"/>
    </font>
    <font>
      <sz val="16"/>
      <name val="Arial Narrow"/>
      <family val="2"/>
    </font>
    <font>
      <sz val="12"/>
      <name val="Arial Narrow"/>
      <family val="2"/>
    </font>
    <font>
      <b/>
      <sz val="20"/>
      <name val="Arial Narrow"/>
      <family val="2"/>
    </font>
    <font>
      <sz val="11"/>
      <name val="Arial Narrow"/>
      <family val="2"/>
    </font>
    <font>
      <b/>
      <sz val="18"/>
      <color indexed="8"/>
      <name val="宋体"/>
      <family val="0"/>
    </font>
    <font>
      <b/>
      <sz val="18"/>
      <color indexed="8"/>
      <name val="Arial Narrow"/>
      <family val="2"/>
    </font>
    <font>
      <sz val="11"/>
      <color indexed="8"/>
      <name val="Arial Narrow"/>
      <family val="2"/>
    </font>
    <font>
      <sz val="8"/>
      <color indexed="8"/>
      <name val="Arial Narrow"/>
      <family val="2"/>
    </font>
    <font>
      <sz val="10"/>
      <color indexed="8"/>
      <name val="Arial Narrow"/>
      <family val="2"/>
    </font>
    <font>
      <sz val="22"/>
      <name val="宋体"/>
      <family val="0"/>
    </font>
    <font>
      <sz val="22"/>
      <name val="Arial Narrow"/>
      <family val="2"/>
    </font>
    <font>
      <sz val="26"/>
      <name val="宋体"/>
      <family val="0"/>
    </font>
    <font>
      <b/>
      <sz val="18"/>
      <name val="Arial Narrow"/>
      <family val="2"/>
    </font>
    <font>
      <b/>
      <sz val="14"/>
      <name val="Arial Narrow"/>
      <family val="2"/>
    </font>
    <font>
      <b/>
      <sz val="40"/>
      <name val="隶书"/>
      <family val="3"/>
    </font>
    <font>
      <b/>
      <sz val="40"/>
      <name val="Arial Narrow"/>
      <family val="2"/>
    </font>
    <font>
      <b/>
      <sz val="18"/>
      <name val="隶书"/>
      <family val="3"/>
    </font>
    <font>
      <sz val="16"/>
      <name val="仿宋_GB2312"/>
      <family val="3"/>
    </font>
    <font>
      <sz val="12"/>
      <color indexed="8"/>
      <name val="Arial Narrow"/>
      <family val="2"/>
    </font>
    <font>
      <b/>
      <sz val="22"/>
      <name val="Arial Narrow"/>
      <family val="2"/>
    </font>
    <font>
      <sz val="9"/>
      <name val="仿宋_GB2312"/>
      <family val="3"/>
    </font>
    <font>
      <sz val="9"/>
      <name val="Arial Narrow"/>
      <family val="2"/>
    </font>
    <font>
      <sz val="10"/>
      <name val="Arial Narrow"/>
      <family val="2"/>
    </font>
    <font>
      <sz val="6"/>
      <color indexed="8"/>
      <name val="Arial Narrow"/>
      <family val="2"/>
    </font>
    <font>
      <sz val="20"/>
      <name val="Arial Narrow"/>
      <family val="2"/>
    </font>
    <font>
      <b/>
      <sz val="11"/>
      <name val="Arial Narrow"/>
      <family val="2"/>
    </font>
    <font>
      <b/>
      <sz val="20"/>
      <name val="宋体"/>
      <family val="0"/>
    </font>
    <font>
      <sz val="11"/>
      <name val="宋体"/>
      <family val="0"/>
    </font>
    <font>
      <b/>
      <sz val="11"/>
      <name val="宋体"/>
      <family val="0"/>
    </font>
    <font>
      <b/>
      <sz val="18"/>
      <name val="宋体"/>
      <family val="0"/>
    </font>
    <font>
      <sz val="10"/>
      <name val="宋体"/>
      <family val="0"/>
    </font>
    <font>
      <sz val="9"/>
      <name val="宋体"/>
      <family val="0"/>
    </font>
    <font>
      <sz val="8"/>
      <name val="宋体"/>
      <family val="0"/>
    </font>
    <font>
      <sz val="15"/>
      <name val="Arial Narrow"/>
      <family val="2"/>
    </font>
    <font>
      <b/>
      <sz val="24"/>
      <name val="宋体"/>
      <family val="0"/>
    </font>
    <font>
      <b/>
      <sz val="24"/>
      <name val="Arial Narrow"/>
      <family val="2"/>
    </font>
    <font>
      <sz val="16"/>
      <name val="宋体"/>
      <family val="0"/>
    </font>
    <font>
      <sz val="13"/>
      <name val="Arial Narrow"/>
      <family val="2"/>
    </font>
    <font>
      <sz val="13"/>
      <name val="宋体"/>
      <family val="0"/>
    </font>
    <font>
      <sz val="14"/>
      <name val="宋体"/>
      <family val="0"/>
    </font>
    <font>
      <sz val="14"/>
      <name val="Arial Narrow"/>
      <family val="2"/>
    </font>
    <font>
      <sz val="21"/>
      <color indexed="8"/>
      <name val="Arial Narrow"/>
      <family val="2"/>
    </font>
    <font>
      <b/>
      <sz val="34"/>
      <name val="宋体"/>
      <family val="0"/>
    </font>
    <font>
      <b/>
      <sz val="34"/>
      <name val="Arial Narrow"/>
      <family val="2"/>
    </font>
    <font>
      <sz val="15"/>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b/>
      <sz val="13"/>
      <color indexed="56"/>
      <name val="宋体"/>
      <family val="0"/>
    </font>
    <font>
      <sz val="11"/>
      <color indexed="20"/>
      <name val="宋体"/>
      <family val="0"/>
    </font>
    <font>
      <sz val="11"/>
      <color indexed="17"/>
      <name val="宋体"/>
      <family val="0"/>
    </font>
    <font>
      <b/>
      <sz val="15"/>
      <color indexed="56"/>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u val="single"/>
      <sz val="12"/>
      <color indexed="12"/>
      <name val="宋体"/>
      <family val="0"/>
    </font>
    <font>
      <sz val="11"/>
      <color indexed="60"/>
      <name val="宋体"/>
      <family val="0"/>
    </font>
    <font>
      <u val="single"/>
      <sz val="12"/>
      <color indexed="36"/>
      <name val="宋体"/>
      <family val="0"/>
    </font>
    <font>
      <b/>
      <sz val="11"/>
      <color indexed="63"/>
      <name val="宋体"/>
      <family val="0"/>
    </font>
    <font>
      <b/>
      <sz val="18"/>
      <color indexed="56"/>
      <name val="宋体"/>
      <family val="0"/>
    </font>
    <font>
      <b/>
      <sz val="10"/>
      <name val="MS Sans Serif"/>
      <family val="2"/>
    </font>
    <font>
      <sz val="10"/>
      <name val="Arial"/>
      <family val="2"/>
    </font>
    <font>
      <sz val="26"/>
      <name val="Arial Narrow"/>
      <family val="2"/>
    </font>
    <font>
      <b/>
      <sz val="22"/>
      <name val="仿宋_GB2312"/>
      <family val="3"/>
    </font>
    <font>
      <vertAlign val="superscript"/>
      <sz val="9"/>
      <name val="Arial Narrow"/>
      <family val="2"/>
    </font>
    <font>
      <sz val="8"/>
      <name val="Arial Narrow"/>
      <family val="2"/>
    </font>
    <font>
      <vertAlign val="superscript"/>
      <sz val="10"/>
      <name val="Arial Narrow"/>
      <family val="2"/>
    </font>
    <font>
      <u val="single"/>
      <sz val="15"/>
      <name val="Arial Narrow"/>
      <family val="2"/>
    </font>
    <font>
      <sz val="20"/>
      <color indexed="8"/>
      <name val="方正小标宋简体"/>
      <family val="4"/>
    </font>
    <font>
      <sz val="14"/>
      <name val="黑体"/>
      <family val="3"/>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style="hair"/>
      <right style="hair"/>
      <top style="thin"/>
      <bottom>
        <color indexed="63"/>
      </bottom>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style="hair"/>
      <top style="hair"/>
      <bottom style="thin"/>
    </border>
    <border>
      <left style="hair"/>
      <right style="thin"/>
      <top style="hair"/>
      <bottom style="hair"/>
    </border>
    <border>
      <left style="hair"/>
      <right style="thin"/>
      <top style="hair"/>
      <bottom>
        <color indexed="63"/>
      </bottom>
    </border>
    <border>
      <left style="hair"/>
      <right style="thin"/>
      <top style="hair"/>
      <bottom style="thin"/>
    </border>
    <border>
      <left>
        <color indexed="63"/>
      </left>
      <right style="thin"/>
      <top style="thin"/>
      <bottom style="thin"/>
    </border>
    <border>
      <left>
        <color indexed="63"/>
      </left>
      <right style="hair"/>
      <top>
        <color indexed="63"/>
      </top>
      <bottom style="thin"/>
    </border>
    <border>
      <left style="hair"/>
      <right style="hair"/>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hair"/>
      <right style="hair"/>
      <top style="thin"/>
      <bottom style="hair"/>
    </border>
    <border>
      <left style="thin"/>
      <right style="hair"/>
      <top style="hair"/>
      <bottom style="thin"/>
    </border>
    <border>
      <left style="hair"/>
      <right style="thin"/>
      <top style="thin"/>
      <bottom style="hair"/>
    </border>
    <border>
      <left style="thin"/>
      <right style="hair"/>
      <top style="thin"/>
      <bottom style="hair"/>
    </border>
    <border>
      <left style="hair"/>
      <right>
        <color indexed="63"/>
      </right>
      <top style="thin"/>
      <bottom style="hair"/>
    </border>
    <border>
      <left>
        <color indexed="63"/>
      </left>
      <right style="hair"/>
      <top style="thin"/>
      <bottom style="hair"/>
    </border>
    <border>
      <left style="hair"/>
      <right style="thin"/>
      <top style="thin"/>
      <bottom>
        <color indexed="63"/>
      </bottom>
    </border>
    <border>
      <left style="hair"/>
      <right style="thin"/>
      <top>
        <color indexed="63"/>
      </top>
      <bottom style="hair"/>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style="thin"/>
      <right style="thin"/>
      <top style="medium"/>
      <bottom style="thin"/>
    </border>
    <border>
      <left style="medium"/>
      <right style="thin"/>
      <top style="medium"/>
      <bottom style="thin"/>
    </border>
    <border>
      <left style="thin"/>
      <right style="medium"/>
      <top style="medium"/>
      <bottom style="thin"/>
    </border>
  </borders>
  <cellStyleXfs count="72">
    <xf numFmtId="0" fontId="0" fillId="0" borderId="0">
      <alignment vertical="center"/>
      <protection/>
    </xf>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54" fillId="0" borderId="1" applyNumberFormat="0" applyFill="0" applyAlignment="0" applyProtection="0"/>
    <xf numFmtId="0" fontId="51"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2" fillId="3" borderId="0" applyNumberFormat="0" applyBorder="0" applyAlignment="0" applyProtection="0"/>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53" fillId="4" borderId="0" applyNumberFormat="0" applyBorder="0" applyAlignment="0" applyProtection="0"/>
    <xf numFmtId="0" fontId="62" fillId="0" borderId="0" applyNumberFormat="0" applyFill="0" applyBorder="0" applyAlignment="0" applyProtection="0"/>
    <xf numFmtId="0" fontId="4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16" borderId="5" applyNumberFormat="0" applyAlignment="0" applyProtection="0"/>
    <xf numFmtId="0" fontId="57" fillId="17" borderId="6" applyNumberFormat="0" applyAlignment="0" applyProtection="0"/>
    <xf numFmtId="0" fontId="58" fillId="0" borderId="0" applyNumberFormat="0" applyFill="0" applyBorder="0" applyAlignment="0" applyProtection="0"/>
    <xf numFmtId="0" fontId="55" fillId="0" borderId="0" applyNumberFormat="0" applyFill="0" applyBorder="0" applyAlignment="0" applyProtection="0"/>
    <xf numFmtId="0" fontId="59" fillId="0" borderId="7" applyNumberFormat="0" applyFill="0" applyAlignment="0" applyProtection="0"/>
    <xf numFmtId="0" fontId="66" fillId="0" borderId="0">
      <alignment/>
      <protection/>
    </xf>
    <xf numFmtId="43" fontId="0" fillId="0" borderId="0" applyFont="0" applyFill="0" applyBorder="0" applyAlignment="0" applyProtection="0"/>
    <xf numFmtId="41" fontId="0" fillId="0" borderId="0" applyFont="0" applyFill="0" applyBorder="0" applyAlignment="0" applyProtection="0"/>
    <xf numFmtId="0" fontId="61" fillId="18" borderId="0" applyNumberFormat="0" applyBorder="0" applyAlignment="0" applyProtection="0"/>
    <xf numFmtId="0" fontId="63" fillId="16" borderId="8" applyNumberFormat="0" applyAlignment="0" applyProtection="0"/>
    <xf numFmtId="0" fontId="56" fillId="7" borderId="5" applyNumberFormat="0" applyAlignment="0" applyProtection="0"/>
    <xf numFmtId="0" fontId="62" fillId="0" borderId="0" applyNumberFormat="0" applyFill="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2" borderId="0" applyNumberFormat="0" applyBorder="0" applyAlignment="0" applyProtection="0"/>
    <xf numFmtId="0" fontId="0" fillId="23" borderId="9" applyNumberFormat="0" applyFont="0" applyAlignment="0" applyProtection="0"/>
  </cellStyleXfs>
  <cellXfs count="477">
    <xf numFmtId="0" fontId="0" fillId="0" borderId="0" xfId="0"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76"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0" fontId="3" fillId="0" borderId="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shrinkToFit="1"/>
    </xf>
    <xf numFmtId="0" fontId="3" fillId="0" borderId="10" xfId="42" applyFont="1" applyFill="1" applyBorder="1" applyAlignment="1">
      <alignment horizontal="center" vertical="center"/>
      <protection/>
    </xf>
    <xf numFmtId="0" fontId="0"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xf numFmtId="176"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xf>
    <xf numFmtId="0" fontId="0" fillId="0" borderId="10" xfId="42" applyFont="1" applyFill="1" applyBorder="1" applyAlignment="1">
      <alignment horizontal="center" vertical="center"/>
      <protection/>
    </xf>
    <xf numFmtId="0" fontId="3" fillId="0" borderId="10" xfId="0" applyFont="1" applyFill="1" applyBorder="1" applyAlignment="1">
      <alignment horizontal="center" vertical="center" shrinkToFit="1"/>
    </xf>
    <xf numFmtId="176" fontId="0" fillId="0" borderId="10"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5" fillId="0" borderId="0" xfId="0" applyFont="1" applyBorder="1" applyAlignment="1">
      <alignment vertical="center"/>
    </xf>
    <xf numFmtId="0" fontId="1" fillId="0" borderId="0" xfId="0" applyFont="1" applyBorder="1" applyAlignment="1">
      <alignment horizontal="right" vertical="center" shrinkToFit="1"/>
    </xf>
    <xf numFmtId="0" fontId="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 xfId="0" applyFont="1" applyBorder="1" applyAlignment="1">
      <alignment horizontal="right" vertical="center" shrinkToFit="1"/>
    </xf>
    <xf numFmtId="0" fontId="9" fillId="0" borderId="10" xfId="0" applyFont="1" applyBorder="1" applyAlignment="1">
      <alignment horizontal="left" vertical="top" wrapText="1"/>
    </xf>
    <xf numFmtId="0" fontId="1" fillId="0" borderId="10" xfId="0" applyFont="1" applyBorder="1" applyAlignment="1">
      <alignment horizontal="left" vertical="center" shrinkToFit="1"/>
    </xf>
    <xf numFmtId="0" fontId="9" fillId="0" borderId="10" xfId="0" applyFont="1" applyBorder="1" applyAlignment="1">
      <alignment horizontal="right" vertical="center" wrapText="1"/>
    </xf>
    <xf numFmtId="0" fontId="10" fillId="0" borderId="10" xfId="0" applyFont="1" applyBorder="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10" xfId="0" applyFont="1" applyFill="1" applyBorder="1" applyAlignment="1">
      <alignment vertical="center"/>
    </xf>
    <xf numFmtId="0" fontId="3" fillId="0" borderId="10" xfId="0" applyFont="1" applyBorder="1" applyAlignment="1">
      <alignment vertical="center"/>
    </xf>
    <xf numFmtId="0" fontId="3" fillId="0" borderId="0" xfId="45" applyFont="1" applyAlignment="1">
      <alignment horizontal="center" vertical="center"/>
      <protection/>
    </xf>
    <xf numFmtId="0" fontId="3" fillId="0" borderId="0" xfId="45" applyFont="1" applyAlignment="1">
      <alignment vertical="center"/>
      <protection/>
    </xf>
    <xf numFmtId="179" fontId="3" fillId="0" borderId="0" xfId="45" applyNumberFormat="1" applyFont="1" applyAlignment="1">
      <alignment horizontal="right" vertical="center"/>
      <protection/>
    </xf>
    <xf numFmtId="0" fontId="13" fillId="0" borderId="0" xfId="45" applyFont="1" applyAlignment="1">
      <alignment horizontal="center" vertical="center"/>
      <protection/>
    </xf>
    <xf numFmtId="0" fontId="0" fillId="0" borderId="0" xfId="45" applyFont="1" applyAlignment="1">
      <alignment horizontal="left" vertical="center"/>
      <protection/>
    </xf>
    <xf numFmtId="0" fontId="3" fillId="0" borderId="0" xfId="45" applyFont="1" applyAlignment="1">
      <alignment horizontal="left" vertical="center"/>
      <protection/>
    </xf>
    <xf numFmtId="0" fontId="3" fillId="0" borderId="0" xfId="45" applyFont="1" applyAlignment="1">
      <alignment horizontal="center"/>
      <protection/>
    </xf>
    <xf numFmtId="0" fontId="3" fillId="0" borderId="0" xfId="45" applyFont="1">
      <alignment/>
      <protection/>
    </xf>
    <xf numFmtId="179" fontId="3" fillId="0" borderId="0" xfId="45" applyNumberFormat="1" applyFont="1" applyAlignment="1">
      <alignment horizontal="right"/>
      <protection/>
    </xf>
    <xf numFmtId="0" fontId="18" fillId="0" borderId="0" xfId="45" applyFont="1" applyAlignment="1">
      <alignment horizontal="right" vertical="center"/>
      <protection/>
    </xf>
    <xf numFmtId="0" fontId="2" fillId="0" borderId="0" xfId="0" applyFont="1" applyBorder="1" applyAlignment="1">
      <alignment horizontal="left" vertical="center"/>
    </xf>
    <xf numFmtId="0" fontId="18" fillId="0" borderId="0" xfId="45" applyFont="1" applyAlignment="1">
      <alignment horizontal="left" vertical="center"/>
      <protection/>
    </xf>
    <xf numFmtId="0" fontId="2" fillId="0" borderId="0" xfId="45" applyFont="1" applyAlignment="1">
      <alignment horizontal="center" vertical="center"/>
      <protection/>
    </xf>
    <xf numFmtId="0" fontId="19" fillId="0" borderId="0" xfId="45" applyFont="1" applyAlignment="1">
      <alignment horizontal="right" vertical="center"/>
      <protection/>
    </xf>
    <xf numFmtId="0" fontId="2" fillId="0" borderId="0" xfId="45" applyFont="1" applyAlignment="1">
      <alignment vertical="center"/>
      <protection/>
    </xf>
    <xf numFmtId="179" fontId="3" fillId="0" borderId="0" xfId="44" applyNumberFormat="1" applyFont="1" applyFill="1">
      <alignment/>
      <protection/>
    </xf>
    <xf numFmtId="180" fontId="3" fillId="0" borderId="0" xfId="44" applyNumberFormat="1" applyFont="1" applyFill="1">
      <alignment/>
      <protection/>
    </xf>
    <xf numFmtId="181" fontId="3" fillId="0" borderId="0" xfId="44" applyNumberFormat="1" applyFont="1" applyFill="1">
      <alignment/>
      <protection/>
    </xf>
    <xf numFmtId="179" fontId="3" fillId="0" borderId="0" xfId="44" applyNumberFormat="1" applyFont="1" applyFill="1" applyBorder="1">
      <alignment/>
      <protection/>
    </xf>
    <xf numFmtId="0" fontId="3" fillId="0" borderId="0" xfId="44" applyFont="1" applyFill="1" applyBorder="1">
      <alignment/>
      <protection/>
    </xf>
    <xf numFmtId="0" fontId="3" fillId="0" borderId="0" xfId="44" applyFont="1" applyFill="1">
      <alignment/>
      <protection/>
    </xf>
    <xf numFmtId="0" fontId="20" fillId="0" borderId="0" xfId="44" applyFont="1" applyFill="1">
      <alignment/>
      <protection/>
    </xf>
    <xf numFmtId="181" fontId="21" fillId="0" borderId="0" xfId="44" applyNumberFormat="1" applyFont="1" applyFill="1" applyBorder="1" applyAlignment="1">
      <alignment horizontal="center" vertical="center"/>
      <protection/>
    </xf>
    <xf numFmtId="0" fontId="22" fillId="0" borderId="10" xfId="44" applyFont="1" applyFill="1" applyBorder="1" applyAlignment="1">
      <alignment horizontal="center" vertical="center" wrapText="1"/>
      <protection/>
    </xf>
    <xf numFmtId="0" fontId="22" fillId="0" borderId="10" xfId="44" applyFont="1" applyFill="1" applyBorder="1" applyAlignment="1">
      <alignment horizontal="center" vertical="center"/>
      <protection/>
    </xf>
    <xf numFmtId="0" fontId="23" fillId="0" borderId="10" xfId="44" applyFont="1" applyFill="1" applyBorder="1" applyAlignment="1">
      <alignment horizontal="center" vertical="center"/>
      <protection/>
    </xf>
    <xf numFmtId="179" fontId="23" fillId="0" borderId="10" xfId="44" applyNumberFormat="1" applyFont="1" applyFill="1" applyBorder="1" applyAlignment="1">
      <alignment horizontal="center" vertical="center"/>
      <protection/>
    </xf>
    <xf numFmtId="180" fontId="23" fillId="0" borderId="10" xfId="44" applyNumberFormat="1" applyFont="1" applyFill="1" applyBorder="1" applyAlignment="1">
      <alignment horizontal="center" vertical="center"/>
      <protection/>
    </xf>
    <xf numFmtId="182" fontId="23" fillId="0" borderId="10" xfId="44" applyNumberFormat="1" applyFont="1" applyFill="1" applyBorder="1" applyAlignment="1">
      <alignment horizontal="center" vertical="center"/>
      <protection/>
    </xf>
    <xf numFmtId="182" fontId="23" fillId="0" borderId="10" xfId="44" applyNumberFormat="1" applyFont="1" applyFill="1" applyBorder="1" applyAlignment="1">
      <alignment horizontal="center"/>
      <protection/>
    </xf>
    <xf numFmtId="181" fontId="22" fillId="0" borderId="10" xfId="44" applyNumberFormat="1" applyFont="1" applyFill="1" applyBorder="1" applyAlignment="1">
      <alignment horizontal="center" vertical="center"/>
      <protection/>
    </xf>
    <xf numFmtId="181" fontId="23" fillId="0" borderId="10" xfId="44" applyNumberFormat="1" applyFont="1" applyFill="1" applyBorder="1" applyAlignment="1">
      <alignment horizontal="center" vertical="center"/>
      <protection/>
    </xf>
    <xf numFmtId="181" fontId="22" fillId="0" borderId="11" xfId="44" applyNumberFormat="1" applyFont="1" applyFill="1" applyBorder="1" applyAlignment="1">
      <alignment horizontal="center" vertical="center"/>
      <protection/>
    </xf>
    <xf numFmtId="179" fontId="22" fillId="0" borderId="10" xfId="44" applyNumberFormat="1" applyFont="1" applyFill="1" applyBorder="1" applyAlignment="1">
      <alignment horizontal="center" vertical="center"/>
      <protection/>
    </xf>
    <xf numFmtId="180" fontId="22" fillId="0" borderId="10" xfId="44" applyNumberFormat="1" applyFont="1" applyFill="1" applyBorder="1" applyAlignment="1">
      <alignment horizontal="center" vertical="center"/>
      <protection/>
    </xf>
    <xf numFmtId="179" fontId="22" fillId="0" borderId="11" xfId="44" applyNumberFormat="1" applyFont="1" applyFill="1" applyBorder="1" applyAlignment="1">
      <alignment horizontal="center" vertical="center"/>
      <protection/>
    </xf>
    <xf numFmtId="179" fontId="23" fillId="0" borderId="10" xfId="44" applyNumberFormat="1" applyFont="1" applyFill="1" applyBorder="1" applyAlignment="1">
      <alignment horizontal="center"/>
      <protection/>
    </xf>
    <xf numFmtId="179" fontId="22" fillId="0" borderId="12" xfId="44" applyNumberFormat="1" applyFont="1" applyFill="1" applyBorder="1" applyAlignment="1">
      <alignment horizontal="center" vertical="center"/>
      <protection/>
    </xf>
    <xf numFmtId="179" fontId="23" fillId="0" borderId="13" xfId="44" applyNumberFormat="1" applyFont="1" applyFill="1" applyBorder="1" applyAlignment="1">
      <alignment horizontal="center" vertical="center"/>
      <protection/>
    </xf>
    <xf numFmtId="180" fontId="23" fillId="0" borderId="13" xfId="44" applyNumberFormat="1" applyFont="1" applyFill="1" applyBorder="1" applyAlignment="1">
      <alignment horizontal="center" vertical="center"/>
      <protection/>
    </xf>
    <xf numFmtId="179" fontId="23" fillId="0" borderId="0" xfId="44" applyNumberFormat="1" applyFont="1" applyFill="1" applyBorder="1" applyAlignment="1">
      <alignment horizontal="center" vertical="center"/>
      <protection/>
    </xf>
    <xf numFmtId="180" fontId="23" fillId="0" borderId="0" xfId="44" applyNumberFormat="1" applyFont="1" applyFill="1" applyBorder="1" applyAlignment="1">
      <alignment horizontal="center" vertical="center"/>
      <protection/>
    </xf>
    <xf numFmtId="0" fontId="24" fillId="0" borderId="0" xfId="44" applyFont="1" applyFill="1" applyBorder="1">
      <alignment/>
      <protection/>
    </xf>
    <xf numFmtId="0" fontId="24" fillId="0" borderId="0" xfId="44" applyFont="1" applyFill="1" applyBorder="1" applyAlignment="1">
      <alignment horizontal="center"/>
      <protection/>
    </xf>
    <xf numFmtId="180" fontId="10" fillId="0" borderId="0" xfId="44" applyNumberFormat="1" applyFont="1" applyFill="1" applyBorder="1" applyAlignment="1">
      <alignment horizontal="center" vertical="center"/>
      <protection/>
    </xf>
    <xf numFmtId="0" fontId="10" fillId="0" borderId="0" xfId="44" applyFont="1" applyFill="1" applyBorder="1" applyAlignment="1">
      <alignment horizontal="center"/>
      <protection/>
    </xf>
    <xf numFmtId="0" fontId="20" fillId="0" borderId="0" xfId="44" applyFont="1" applyFill="1" applyBorder="1">
      <alignment/>
      <protection/>
    </xf>
    <xf numFmtId="0" fontId="25" fillId="0" borderId="0" xfId="44" applyFont="1" applyFill="1" applyBorder="1" applyAlignment="1">
      <alignment horizontal="center"/>
      <protection/>
    </xf>
    <xf numFmtId="0" fontId="10" fillId="0" borderId="0" xfId="44" applyFont="1" applyFill="1" applyBorder="1">
      <alignment/>
      <protection/>
    </xf>
    <xf numFmtId="0" fontId="10" fillId="0" borderId="0" xfId="44" applyFont="1" applyFill="1" applyBorder="1" applyAlignment="1">
      <alignment horizontal="right"/>
      <protection/>
    </xf>
    <xf numFmtId="181" fontId="24" fillId="0" borderId="0" xfId="44" applyNumberFormat="1" applyFont="1" applyFill="1" applyBorder="1" applyAlignment="1">
      <alignment horizontal="center" vertical="center"/>
      <protection/>
    </xf>
    <xf numFmtId="180" fontId="23" fillId="0" borderId="14" xfId="44" applyNumberFormat="1" applyFont="1" applyFill="1" applyBorder="1" applyAlignment="1">
      <alignment horizontal="center" vertical="center"/>
      <protection/>
    </xf>
    <xf numFmtId="179" fontId="23" fillId="0" borderId="0" xfId="44" applyNumberFormat="1" applyFont="1" applyFill="1" applyBorder="1" applyAlignment="1">
      <alignment horizontal="center" vertical="center" wrapText="1"/>
      <protection/>
    </xf>
    <xf numFmtId="179" fontId="24" fillId="0" borderId="0" xfId="44" applyNumberFormat="1" applyFont="1" applyFill="1" applyBorder="1" applyAlignment="1">
      <alignment horizontal="center" vertical="center" wrapText="1"/>
      <protection/>
    </xf>
    <xf numFmtId="179" fontId="3" fillId="0" borderId="0" xfId="44" applyNumberFormat="1" applyFont="1" applyFill="1" applyBorder="1" applyAlignment="1">
      <alignment horizontal="center" vertical="center" wrapText="1"/>
      <protection/>
    </xf>
    <xf numFmtId="0" fontId="2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vertical="center"/>
    </xf>
    <xf numFmtId="0" fontId="27" fillId="0" borderId="0" xfId="0" applyFont="1" applyFill="1" applyAlignment="1">
      <alignment vertical="center"/>
    </xf>
    <xf numFmtId="0" fontId="24" fillId="0" borderId="0" xfId="0" applyFont="1" applyFill="1" applyAlignment="1">
      <alignment vertical="center"/>
    </xf>
    <xf numFmtId="0" fontId="3" fillId="0" borderId="0" xfId="0" applyNumberFormat="1" applyFont="1" applyFill="1" applyAlignment="1">
      <alignment horizontal="center" vertical="center"/>
    </xf>
    <xf numFmtId="0" fontId="3" fillId="0" borderId="0" xfId="0" applyFont="1" applyFill="1" applyAlignment="1">
      <alignment vertical="center"/>
    </xf>
    <xf numFmtId="0" fontId="24" fillId="0" borderId="15" xfId="0" applyFont="1" applyFill="1" applyBorder="1" applyAlignment="1">
      <alignment horizontal="center" vertical="center"/>
    </xf>
    <xf numFmtId="0" fontId="29" fillId="0" borderId="10" xfId="0" applyFont="1" applyFill="1" applyBorder="1" applyAlignment="1">
      <alignment horizontal="center" vertical="center" wrapText="1"/>
    </xf>
    <xf numFmtId="183"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3" fillId="0" borderId="0" xfId="0" applyFont="1" applyFill="1" applyAlignment="1">
      <alignment horizontal="center" vertical="center" wrapText="1"/>
    </xf>
    <xf numFmtId="0" fontId="29" fillId="0" borderId="16"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183" fontId="5" fillId="0" borderId="18" xfId="0" applyNumberFormat="1" applyFont="1" applyFill="1" applyBorder="1" applyAlignment="1">
      <alignment horizontal="center" vertical="center" wrapText="1"/>
    </xf>
    <xf numFmtId="183" fontId="5" fillId="0" borderId="19" xfId="0" applyNumberFormat="1" applyFont="1" applyFill="1" applyBorder="1" applyAlignment="1">
      <alignment horizontal="center" vertical="center" wrapText="1"/>
    </xf>
    <xf numFmtId="0" fontId="29" fillId="0" borderId="19"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179" fontId="5" fillId="0" borderId="19" xfId="0" applyNumberFormat="1" applyFont="1" applyFill="1" applyBorder="1" applyAlignment="1">
      <alignment horizontal="center" vertical="center" wrapText="1"/>
    </xf>
    <xf numFmtId="183" fontId="5" fillId="0" borderId="18" xfId="0" applyNumberFormat="1" applyFont="1" applyFill="1" applyBorder="1" applyAlignment="1">
      <alignment horizontal="center" vertical="center"/>
    </xf>
    <xf numFmtId="183" fontId="29" fillId="0" borderId="19" xfId="0" applyNumberFormat="1" applyFont="1" applyFill="1" applyBorder="1" applyAlignment="1">
      <alignment horizontal="center" vertical="center" wrapText="1"/>
    </xf>
    <xf numFmtId="0" fontId="29" fillId="0" borderId="19" xfId="0" applyFont="1" applyFill="1" applyBorder="1" applyAlignment="1">
      <alignment horizontal="center" vertical="center"/>
    </xf>
    <xf numFmtId="0" fontId="5" fillId="0" borderId="19" xfId="0" applyFont="1" applyFill="1" applyBorder="1" applyAlignment="1">
      <alignment horizontal="center" vertical="center"/>
    </xf>
    <xf numFmtId="183" fontId="5" fillId="0" borderId="20" xfId="0" applyNumberFormat="1" applyFont="1" applyFill="1" applyBorder="1" applyAlignment="1">
      <alignment horizontal="center" vertical="center"/>
    </xf>
    <xf numFmtId="183" fontId="29" fillId="0" borderId="21" xfId="0" applyNumberFormat="1" applyFont="1" applyFill="1" applyBorder="1" applyAlignment="1">
      <alignment horizontal="center" vertical="center" wrapText="1"/>
    </xf>
    <xf numFmtId="0" fontId="29"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83" fontId="3" fillId="0" borderId="0" xfId="0" applyNumberFormat="1" applyFont="1" applyFill="1" applyAlignment="1">
      <alignment horizontal="center" vertical="center" wrapText="1"/>
    </xf>
    <xf numFmtId="0" fontId="5" fillId="0" borderId="23"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3" fillId="0" borderId="0" xfId="0" applyFont="1" applyFill="1" applyAlignment="1">
      <alignment horizontal="center" vertical="center"/>
    </xf>
    <xf numFmtId="0" fontId="0"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183" fontId="3" fillId="0" borderId="10" xfId="0" applyNumberFormat="1" applyFont="1" applyFill="1" applyBorder="1" applyAlignment="1">
      <alignment horizontal="center" vertical="center"/>
    </xf>
    <xf numFmtId="183" fontId="0" fillId="0" borderId="10" xfId="0" applyNumberFormat="1" applyFont="1" applyFill="1" applyBorder="1" applyAlignment="1">
      <alignment horizontal="center" vertical="center"/>
    </xf>
    <xf numFmtId="181"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183" fontId="3" fillId="0" borderId="0" xfId="0" applyNumberFormat="1" applyFont="1" applyFill="1" applyAlignment="1">
      <alignment horizontal="center" vertical="center"/>
    </xf>
    <xf numFmtId="179" fontId="3" fillId="0" borderId="0" xfId="0" applyNumberFormat="1" applyFont="1" applyFill="1" applyAlignment="1">
      <alignment horizontal="center" vertical="center"/>
    </xf>
    <xf numFmtId="0" fontId="24" fillId="0" borderId="0" xfId="0" applyFont="1" applyFill="1" applyAlignment="1">
      <alignment vertical="center" wrapText="1"/>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181" fontId="24" fillId="0" borderId="0" xfId="0" applyNumberFormat="1" applyFont="1" applyFill="1" applyAlignment="1">
      <alignment horizontal="center" vertical="center"/>
    </xf>
    <xf numFmtId="0" fontId="24" fillId="0" borderId="19" xfId="0" applyFont="1" applyFill="1" applyBorder="1" applyAlignment="1">
      <alignment horizontal="center" vertical="center" wrapText="1"/>
    </xf>
    <xf numFmtId="0" fontId="32" fillId="0" borderId="19" xfId="0" applyFont="1" applyFill="1" applyBorder="1" applyAlignment="1">
      <alignment horizontal="center" vertical="center" wrapText="1"/>
    </xf>
    <xf numFmtId="184" fontId="24" fillId="0" borderId="18" xfId="0" applyNumberFormat="1" applyFont="1" applyFill="1" applyBorder="1" applyAlignment="1">
      <alignment horizontal="center" vertical="center"/>
    </xf>
    <xf numFmtId="184" fontId="24" fillId="0" borderId="19" xfId="0" applyNumberFormat="1" applyFont="1" applyFill="1" applyBorder="1" applyAlignment="1">
      <alignment horizontal="center" vertical="center"/>
    </xf>
    <xf numFmtId="181" fontId="24" fillId="0" borderId="19" xfId="0" applyNumberFormat="1" applyFont="1" applyFill="1" applyBorder="1" applyAlignment="1">
      <alignment horizontal="center" vertical="center"/>
    </xf>
    <xf numFmtId="0" fontId="24" fillId="0" borderId="19" xfId="0" applyFont="1" applyFill="1" applyBorder="1" applyAlignment="1">
      <alignment horizontal="right" vertical="center"/>
    </xf>
    <xf numFmtId="184" fontId="32" fillId="0" borderId="19" xfId="0" applyNumberFormat="1" applyFont="1" applyFill="1" applyBorder="1" applyAlignment="1">
      <alignment horizontal="center" vertical="center"/>
    </xf>
    <xf numFmtId="0" fontId="32" fillId="0" borderId="19" xfId="0" applyFont="1" applyFill="1" applyBorder="1" applyAlignment="1">
      <alignment horizontal="center" vertical="center"/>
    </xf>
    <xf numFmtId="0" fontId="24" fillId="0" borderId="22" xfId="0" applyFont="1" applyFill="1" applyBorder="1" applyAlignment="1">
      <alignment horizontal="right" vertical="center"/>
    </xf>
    <xf numFmtId="0" fontId="24" fillId="0" borderId="19" xfId="0" applyFont="1" applyFill="1" applyBorder="1" applyAlignment="1">
      <alignment horizontal="center" vertical="center"/>
    </xf>
    <xf numFmtId="182" fontId="24" fillId="0" borderId="19" xfId="0" applyNumberFormat="1" applyFont="1" applyFill="1" applyBorder="1" applyAlignment="1">
      <alignment horizontal="right" vertical="center"/>
    </xf>
    <xf numFmtId="0" fontId="24" fillId="0" borderId="0" xfId="0" applyFont="1" applyFill="1" applyBorder="1" applyAlignment="1">
      <alignment horizontal="center" vertical="center"/>
    </xf>
    <xf numFmtId="0" fontId="24" fillId="0" borderId="2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24" fillId="0" borderId="23" xfId="0" applyFont="1" applyFill="1" applyBorder="1" applyAlignment="1">
      <alignment horizontal="left" vertical="center" wrapText="1"/>
    </xf>
    <xf numFmtId="176" fontId="24" fillId="0" borderId="19" xfId="0" applyNumberFormat="1" applyFont="1" applyFill="1" applyBorder="1" applyAlignment="1">
      <alignment horizontal="right" vertical="center"/>
    </xf>
    <xf numFmtId="176" fontId="24" fillId="0" borderId="22" xfId="0" applyNumberFormat="1" applyFont="1" applyFill="1" applyBorder="1" applyAlignment="1">
      <alignment horizontal="right" vertical="center"/>
    </xf>
    <xf numFmtId="0" fontId="24" fillId="0" borderId="22" xfId="0" applyNumberFormat="1" applyFont="1" applyFill="1" applyBorder="1" applyAlignment="1">
      <alignment horizontal="right" vertical="center"/>
    </xf>
    <xf numFmtId="0" fontId="24" fillId="0" borderId="25" xfId="0" applyFont="1" applyFill="1" applyBorder="1" applyAlignment="1">
      <alignment horizontal="center" vertical="center"/>
    </xf>
    <xf numFmtId="0" fontId="3" fillId="0" borderId="0" xfId="0" applyFont="1" applyFill="1" applyBorder="1" applyAlignment="1">
      <alignment vertical="center" wrapText="1"/>
    </xf>
    <xf numFmtId="179" fontId="3" fillId="0" borderId="0" xfId="0" applyNumberFormat="1" applyFont="1" applyFill="1" applyBorder="1" applyAlignment="1">
      <alignment vertical="center"/>
    </xf>
    <xf numFmtId="0" fontId="32"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9" xfId="0" applyFont="1" applyFill="1" applyBorder="1" applyAlignment="1">
      <alignment horizontal="center" vertical="center"/>
    </xf>
    <xf numFmtId="0" fontId="24" fillId="0" borderId="29" xfId="0" applyFont="1" applyFill="1" applyBorder="1" applyAlignment="1">
      <alignment horizontal="center" vertical="center" wrapText="1"/>
    </xf>
    <xf numFmtId="184" fontId="24" fillId="0" borderId="10" xfId="0" applyNumberFormat="1" applyFont="1" applyFill="1" applyBorder="1" applyAlignment="1">
      <alignment horizontal="center" vertical="center"/>
    </xf>
    <xf numFmtId="185" fontId="32" fillId="0" borderId="10" xfId="0" applyNumberFormat="1" applyFont="1" applyFill="1" applyBorder="1" applyAlignment="1">
      <alignment horizontal="center" vertical="center"/>
    </xf>
    <xf numFmtId="180" fontId="24" fillId="0" borderId="10" xfId="0" applyNumberFormat="1" applyFont="1" applyFill="1" applyBorder="1" applyAlignment="1">
      <alignment horizontal="center" vertical="center" shrinkToFit="1"/>
    </xf>
    <xf numFmtId="185" fontId="33" fillId="0" borderId="10" xfId="0" applyNumberFormat="1" applyFont="1" applyFill="1" applyBorder="1" applyAlignment="1">
      <alignment horizontal="center" vertical="center"/>
    </xf>
    <xf numFmtId="184" fontId="23" fillId="0" borderId="19" xfId="0" applyNumberFormat="1" applyFont="1" applyFill="1" applyBorder="1" applyAlignment="1">
      <alignment horizontal="center" vertical="center"/>
    </xf>
    <xf numFmtId="0" fontId="33" fillId="0" borderId="10" xfId="0" applyFont="1" applyFill="1" applyBorder="1" applyAlignment="1">
      <alignment horizontal="center" vertical="center"/>
    </xf>
    <xf numFmtId="0" fontId="23" fillId="0" borderId="10" xfId="0" applyFont="1" applyFill="1" applyBorder="1" applyAlignment="1">
      <alignment horizontal="center" vertical="center" shrinkToFit="1"/>
    </xf>
    <xf numFmtId="179" fontId="24" fillId="0" borderId="10" xfId="0" applyNumberFormat="1" applyFont="1" applyFill="1" applyBorder="1" applyAlignment="1">
      <alignment horizontal="center" vertical="center"/>
    </xf>
    <xf numFmtId="179" fontId="24" fillId="0" borderId="10" xfId="0" applyNumberFormat="1" applyFont="1" applyFill="1" applyBorder="1" applyAlignment="1">
      <alignment horizontal="center" vertical="center" shrinkToFit="1"/>
    </xf>
    <xf numFmtId="185" fontId="3"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0" fontId="32" fillId="0" borderId="30" xfId="0" applyFont="1" applyFill="1" applyBorder="1" applyAlignment="1">
      <alignment horizontal="center" vertical="center" wrapText="1"/>
    </xf>
    <xf numFmtId="0" fontId="34" fillId="0" borderId="10" xfId="0" applyFont="1" applyFill="1" applyBorder="1" applyAlignment="1">
      <alignment horizontal="center" vertical="center" wrapText="1"/>
    </xf>
    <xf numFmtId="179" fontId="3" fillId="0" borderId="0" xfId="0" applyNumberFormat="1" applyFont="1" applyFill="1" applyBorder="1" applyAlignment="1">
      <alignment vertical="center" shrinkToFit="1"/>
    </xf>
    <xf numFmtId="0" fontId="24" fillId="0" borderId="30" xfId="0" applyFont="1" applyFill="1" applyBorder="1" applyAlignment="1">
      <alignment horizontal="center" vertical="center" wrapText="1"/>
    </xf>
    <xf numFmtId="185"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right" vertical="center"/>
    </xf>
    <xf numFmtId="176" fontId="24" fillId="0" borderId="10"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shrinkToFit="1"/>
    </xf>
    <xf numFmtId="0" fontId="24" fillId="0" borderId="10" xfId="0" applyNumberFormat="1" applyFont="1" applyFill="1" applyBorder="1" applyAlignment="1">
      <alignment horizontal="right" vertical="center" wrapText="1"/>
    </xf>
    <xf numFmtId="0" fontId="35"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horizontal="right" vertical="center"/>
    </xf>
    <xf numFmtId="0" fontId="38" fillId="0" borderId="31" xfId="0" applyFont="1" applyBorder="1" applyAlignment="1">
      <alignment horizontal="left" vertical="center" wrapText="1"/>
    </xf>
    <xf numFmtId="31" fontId="2" fillId="0" borderId="26" xfId="0" applyNumberFormat="1" applyFont="1" applyBorder="1" applyAlignment="1">
      <alignment horizontal="right" vertical="center"/>
    </xf>
    <xf numFmtId="0" fontId="38" fillId="0" borderId="32" xfId="0" applyFont="1" applyBorder="1" applyAlignment="1">
      <alignment vertical="center"/>
    </xf>
    <xf numFmtId="0" fontId="2" fillId="0" borderId="33" xfId="0" applyFont="1" applyBorder="1" applyAlignment="1">
      <alignment vertical="center"/>
    </xf>
    <xf numFmtId="0" fontId="2" fillId="0" borderId="33" xfId="0" applyFont="1" applyBorder="1" applyAlignment="1">
      <alignment vertical="top" wrapText="1"/>
    </xf>
    <xf numFmtId="0" fontId="2" fillId="0" borderId="0" xfId="0" applyFont="1" applyBorder="1" applyAlignment="1">
      <alignment vertical="top" wrapText="1"/>
    </xf>
    <xf numFmtId="0" fontId="2" fillId="0" borderId="34" xfId="0" applyFont="1" applyBorder="1" applyAlignment="1">
      <alignment vertical="center"/>
    </xf>
    <xf numFmtId="0" fontId="2" fillId="0" borderId="35" xfId="0" applyFont="1" applyBorder="1" applyAlignment="1">
      <alignment vertical="top" wrapText="1"/>
    </xf>
    <xf numFmtId="0" fontId="38" fillId="0" borderId="35" xfId="0" applyFont="1" applyBorder="1" applyAlignment="1">
      <alignment vertical="center"/>
    </xf>
    <xf numFmtId="0" fontId="38" fillId="0" borderId="0" xfId="0" applyFont="1" applyBorder="1" applyAlignment="1">
      <alignment horizontal="center" vertical="top"/>
    </xf>
    <xf numFmtId="0" fontId="38"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xf>
    <xf numFmtId="0" fontId="35" fillId="0" borderId="0" xfId="0" applyFont="1" applyAlignment="1">
      <alignment vertical="center"/>
    </xf>
    <xf numFmtId="0" fontId="39" fillId="0" borderId="0" xfId="0" applyFont="1" applyAlignment="1">
      <alignment vertical="center"/>
    </xf>
    <xf numFmtId="0" fontId="3" fillId="0" borderId="0" xfId="0" applyFont="1" applyAlignment="1">
      <alignment horizontal="left" vertical="top"/>
    </xf>
    <xf numFmtId="0" fontId="39" fillId="0" borderId="0" xfId="0" applyFont="1" applyAlignment="1">
      <alignment horizontal="left" vertical="center"/>
    </xf>
    <xf numFmtId="0" fontId="40" fillId="0" borderId="0" xfId="0" applyFont="1" applyAlignment="1">
      <alignment horizontal="right" vertical="center"/>
    </xf>
    <xf numFmtId="0" fontId="39" fillId="0" borderId="0" xfId="0" applyFont="1" applyBorder="1" applyAlignment="1">
      <alignment vertical="center"/>
    </xf>
    <xf numFmtId="0" fontId="40" fillId="0" borderId="0" xfId="0" applyFont="1" applyBorder="1" applyAlignment="1">
      <alignment horizontal="right" vertical="center"/>
    </xf>
    <xf numFmtId="0" fontId="3" fillId="0" borderId="33" xfId="0" applyFont="1" applyBorder="1" applyAlignment="1">
      <alignment vertical="center"/>
    </xf>
    <xf numFmtId="0" fontId="3" fillId="0" borderId="36" xfId="0" applyFont="1" applyBorder="1" applyAlignment="1">
      <alignment vertical="center"/>
    </xf>
    <xf numFmtId="0" fontId="3" fillId="0" borderId="34" xfId="0" applyFont="1" applyBorder="1" applyAlignment="1">
      <alignment vertical="center"/>
    </xf>
    <xf numFmtId="0" fontId="3" fillId="0" borderId="0" xfId="0" applyFont="1" applyBorder="1" applyAlignment="1">
      <alignment horizontal="left" vertical="top"/>
    </xf>
    <xf numFmtId="0" fontId="3" fillId="0" borderId="34" xfId="0" applyFont="1" applyBorder="1" applyAlignment="1">
      <alignment horizontal="left" vertical="top"/>
    </xf>
    <xf numFmtId="0" fontId="3" fillId="0" borderId="15" xfId="0" applyFont="1" applyBorder="1" applyAlignment="1">
      <alignment vertical="center"/>
    </xf>
    <xf numFmtId="0" fontId="3" fillId="0" borderId="37" xfId="0" applyFont="1" applyBorder="1" applyAlignment="1">
      <alignment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shrinkToFit="1"/>
    </xf>
    <xf numFmtId="0" fontId="42" fillId="0" borderId="10" xfId="0" applyFont="1" applyBorder="1" applyAlignment="1">
      <alignment horizontal="center" vertical="center"/>
    </xf>
    <xf numFmtId="0" fontId="35" fillId="0" borderId="0" xfId="0" applyFont="1" applyBorder="1" applyAlignment="1">
      <alignment vertical="center"/>
    </xf>
    <xf numFmtId="176" fontId="3" fillId="0" borderId="0" xfId="0" applyNumberFormat="1" applyFont="1" applyBorder="1" applyAlignment="1">
      <alignment vertical="center"/>
    </xf>
    <xf numFmtId="177" fontId="3" fillId="0" borderId="0" xfId="0" applyNumberFormat="1" applyFont="1" applyBorder="1" applyAlignment="1">
      <alignment vertical="center"/>
    </xf>
    <xf numFmtId="176" fontId="30" fillId="0" borderId="10" xfId="0" applyNumberFormat="1" applyFont="1" applyBorder="1" applyAlignment="1">
      <alignment horizontal="center" vertical="center" wrapText="1"/>
    </xf>
    <xf numFmtId="177" fontId="30"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29" fillId="0" borderId="10" xfId="0" applyFont="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shrinkToFit="1"/>
    </xf>
    <xf numFmtId="0" fontId="5" fillId="25" borderId="10" xfId="42" applyFont="1" applyFill="1" applyBorder="1" applyAlignment="1">
      <alignment horizontal="center" vertical="center"/>
      <protection/>
    </xf>
    <xf numFmtId="184" fontId="29" fillId="25" borderId="10" xfId="42" applyNumberFormat="1" applyFont="1" applyFill="1" applyBorder="1" applyAlignment="1">
      <alignment horizontal="center" vertical="center" wrapText="1"/>
      <protection/>
    </xf>
    <xf numFmtId="0" fontId="29"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29" fillId="25" borderId="10" xfId="42" applyFont="1" applyFill="1" applyBorder="1" applyAlignment="1">
      <alignment horizontal="center" vertical="center"/>
      <protection/>
    </xf>
    <xf numFmtId="0" fontId="5" fillId="0" borderId="10" xfId="0" applyFont="1" applyFill="1" applyBorder="1" applyAlignment="1">
      <alignment horizontal="center" vertical="center" shrinkToFit="1"/>
    </xf>
    <xf numFmtId="0" fontId="27" fillId="0" borderId="10" xfId="0" applyFont="1" applyBorder="1" applyAlignment="1">
      <alignment vertical="center"/>
    </xf>
    <xf numFmtId="176" fontId="5" fillId="0" borderId="10" xfId="0" applyNumberFormat="1" applyFont="1" applyBorder="1" applyAlignment="1">
      <alignment vertical="center"/>
    </xf>
    <xf numFmtId="177" fontId="5" fillId="0" borderId="31" xfId="0" applyNumberFormat="1" applyFont="1" applyBorder="1" applyAlignment="1">
      <alignment vertical="center"/>
    </xf>
    <xf numFmtId="0" fontId="5" fillId="0" borderId="10" xfId="0" applyFont="1" applyBorder="1" applyAlignment="1">
      <alignment vertical="center"/>
    </xf>
    <xf numFmtId="0" fontId="29" fillId="0" borderId="10"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right" vertical="center"/>
    </xf>
    <xf numFmtId="0" fontId="46" fillId="0" borderId="32" xfId="0" applyFont="1" applyBorder="1" applyAlignment="1">
      <alignment vertical="center"/>
    </xf>
    <xf numFmtId="0" fontId="35" fillId="0" borderId="33" xfId="0" applyFont="1" applyBorder="1" applyAlignment="1">
      <alignment vertical="center"/>
    </xf>
    <xf numFmtId="0" fontId="46" fillId="0" borderId="38" xfId="0" applyFont="1" applyBorder="1" applyAlignment="1">
      <alignment vertical="center"/>
    </xf>
    <xf numFmtId="0" fontId="35" fillId="0" borderId="15" xfId="0" applyFont="1" applyBorder="1" applyAlignment="1">
      <alignment vertical="center"/>
    </xf>
    <xf numFmtId="0" fontId="38" fillId="0" borderId="10" xfId="0" applyFont="1" applyBorder="1" applyAlignment="1">
      <alignment horizontal="center" vertical="center" wrapText="1"/>
    </xf>
    <xf numFmtId="0" fontId="35" fillId="0" borderId="36" xfId="0" applyFont="1" applyBorder="1" applyAlignment="1">
      <alignment vertical="center"/>
    </xf>
    <xf numFmtId="0" fontId="35" fillId="0" borderId="37" xfId="0" applyFont="1" applyBorder="1" applyAlignment="1">
      <alignment vertical="center"/>
    </xf>
    <xf numFmtId="0" fontId="46" fillId="0" borderId="39" xfId="0" applyFont="1" applyBorder="1" applyAlignment="1">
      <alignment/>
    </xf>
    <xf numFmtId="0" fontId="35" fillId="0" borderId="39" xfId="0" applyFont="1" applyBorder="1" applyAlignment="1">
      <alignment vertical="center"/>
    </xf>
    <xf numFmtId="0" fontId="35" fillId="0" borderId="10" xfId="0" applyFont="1" applyBorder="1" applyAlignment="1">
      <alignment vertical="center"/>
    </xf>
    <xf numFmtId="177" fontId="35" fillId="0" borderId="10" xfId="0" applyNumberFormat="1" applyFont="1" applyBorder="1" applyAlignment="1">
      <alignment vertical="center"/>
    </xf>
    <xf numFmtId="0" fontId="35" fillId="0" borderId="26" xfId="0" applyFont="1" applyBorder="1" applyAlignment="1">
      <alignment vertical="center"/>
    </xf>
    <xf numFmtId="0" fontId="43" fillId="0" borderId="0" xfId="0" applyFont="1" applyBorder="1" applyAlignment="1">
      <alignment horizontal="center" vertical="center" wrapText="1"/>
    </xf>
    <xf numFmtId="0" fontId="44" fillId="0" borderId="0" xfId="0" applyFont="1" applyBorder="1" applyAlignment="1">
      <alignment horizontal="center" vertical="center"/>
    </xf>
    <xf numFmtId="0" fontId="45" fillId="0" borderId="0" xfId="0" applyFont="1" applyBorder="1" applyAlignment="1">
      <alignment horizontal="center" vertical="center"/>
    </xf>
    <xf numFmtId="0" fontId="35" fillId="0" borderId="35" xfId="0" applyFont="1" applyBorder="1" applyAlignment="1">
      <alignment horizontal="left" vertical="center" wrapText="1"/>
    </xf>
    <xf numFmtId="0" fontId="35" fillId="0" borderId="0" xfId="0" applyFont="1" applyBorder="1" applyAlignment="1">
      <alignment horizontal="left" vertical="center" wrapText="1"/>
    </xf>
    <xf numFmtId="0" fontId="35" fillId="0" borderId="34" xfId="0" applyFont="1" applyBorder="1" applyAlignment="1">
      <alignment horizontal="left" vertical="center" wrapText="1"/>
    </xf>
    <xf numFmtId="0" fontId="46" fillId="0" borderId="35" xfId="0" applyFont="1" applyBorder="1" applyAlignment="1">
      <alignment horizontal="right" vertical="center" wrapText="1"/>
    </xf>
    <xf numFmtId="0" fontId="35" fillId="0" borderId="0" xfId="0" applyFont="1" applyBorder="1" applyAlignment="1">
      <alignment horizontal="right" vertical="center" wrapText="1"/>
    </xf>
    <xf numFmtId="0" fontId="46" fillId="0" borderId="0" xfId="0" applyFont="1" applyBorder="1" applyAlignment="1">
      <alignment horizontal="left" vertical="center" wrapText="1"/>
    </xf>
    <xf numFmtId="0" fontId="38" fillId="0" borderId="10" xfId="0" applyFont="1" applyBorder="1" applyAlignment="1">
      <alignment horizontal="center" vertical="center"/>
    </xf>
    <xf numFmtId="0" fontId="2" fillId="0" borderId="10" xfId="0" applyFont="1" applyBorder="1" applyAlignment="1">
      <alignment horizontal="center" vertical="center"/>
    </xf>
    <xf numFmtId="0" fontId="3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6" fillId="0" borderId="31"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26" xfId="0" applyFont="1" applyBorder="1" applyAlignment="1">
      <alignment horizontal="center" vertical="center" wrapText="1"/>
    </xf>
    <xf numFmtId="177" fontId="35" fillId="0" borderId="10" xfId="0" applyNumberFormat="1" applyFont="1" applyBorder="1" applyAlignment="1">
      <alignment horizontal="center" vertical="center"/>
    </xf>
    <xf numFmtId="0" fontId="35" fillId="0" borderId="10" xfId="0" applyFont="1" applyBorder="1" applyAlignment="1">
      <alignment horizontal="center" vertical="center"/>
    </xf>
    <xf numFmtId="0" fontId="46" fillId="0" borderId="10" xfId="0" applyFont="1" applyBorder="1" applyAlignment="1">
      <alignment horizontal="left" vertical="center" shrinkToFit="1"/>
    </xf>
    <xf numFmtId="0" fontId="35" fillId="0" borderId="10" xfId="0" applyFont="1" applyBorder="1" applyAlignment="1">
      <alignment horizontal="left" vertical="center" shrinkToFit="1"/>
    </xf>
    <xf numFmtId="0" fontId="46" fillId="0" borderId="10" xfId="0" applyFont="1" applyBorder="1" applyAlignment="1">
      <alignment horizontal="center" vertical="center"/>
    </xf>
    <xf numFmtId="0" fontId="38" fillId="0" borderId="30" xfId="0" applyFont="1" applyBorder="1" applyAlignment="1">
      <alignment horizontal="center" vertical="center" wrapText="1"/>
    </xf>
    <xf numFmtId="0" fontId="38" fillId="0" borderId="40" xfId="0" applyFont="1" applyBorder="1" applyAlignment="1">
      <alignment horizontal="center" vertical="center" wrapText="1"/>
    </xf>
    <xf numFmtId="0" fontId="2" fillId="0" borderId="29" xfId="0" applyFont="1" applyBorder="1" applyAlignment="1">
      <alignment horizontal="center" vertical="center" wrapText="1"/>
    </xf>
    <xf numFmtId="0" fontId="30"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6"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0" xfId="0" applyFont="1" applyBorder="1" applyAlignment="1">
      <alignment horizontal="center" vertical="center"/>
    </xf>
    <xf numFmtId="0" fontId="30" fillId="0" borderId="40" xfId="0" applyFont="1" applyBorder="1" applyAlignment="1">
      <alignment horizontal="center" vertical="center"/>
    </xf>
    <xf numFmtId="0" fontId="30" fillId="0" borderId="29" xfId="0" applyFont="1" applyBorder="1" applyAlignment="1">
      <alignment horizontal="center" vertical="center"/>
    </xf>
    <xf numFmtId="0" fontId="30" fillId="0" borderId="10" xfId="0" applyFont="1" applyBorder="1" applyAlignment="1">
      <alignment horizontal="center" vertical="center" wrapText="1"/>
    </xf>
    <xf numFmtId="176" fontId="30" fillId="0" borderId="10" xfId="0" applyNumberFormat="1" applyFont="1" applyBorder="1" applyAlignment="1">
      <alignment horizontal="center" vertical="center" wrapText="1"/>
    </xf>
    <xf numFmtId="176" fontId="27" fillId="0" borderId="10" xfId="0" applyNumberFormat="1" applyFont="1" applyBorder="1" applyAlignment="1">
      <alignment horizontal="center" vertical="center" wrapText="1"/>
    </xf>
    <xf numFmtId="0" fontId="27" fillId="0" borderId="10" xfId="0" applyFont="1" applyBorder="1" applyAlignment="1">
      <alignment horizontal="center" vertical="center" wrapText="1"/>
    </xf>
    <xf numFmtId="0" fontId="27" fillId="0" borderId="29" xfId="0" applyFont="1" applyBorder="1" applyAlignment="1">
      <alignment horizontal="center" vertical="center"/>
    </xf>
    <xf numFmtId="0" fontId="30" fillId="0" borderId="32" xfId="0" applyFont="1" applyBorder="1" applyAlignment="1">
      <alignment horizontal="center" vertical="center"/>
    </xf>
    <xf numFmtId="0" fontId="30" fillId="0" borderId="36" xfId="0" applyFont="1" applyBorder="1" applyAlignment="1">
      <alignment horizontal="center" vertical="center"/>
    </xf>
    <xf numFmtId="0" fontId="30" fillId="0" borderId="38" xfId="0" applyFont="1" applyBorder="1" applyAlignment="1">
      <alignment horizontal="center" vertical="center"/>
    </xf>
    <xf numFmtId="0" fontId="30" fillId="0" borderId="37" xfId="0" applyFont="1" applyBorder="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9" fillId="0" borderId="15" xfId="0" applyFont="1" applyBorder="1" applyAlignment="1">
      <alignment horizontal="left" vertical="center" shrinkToFi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5" xfId="0" applyFont="1" applyBorder="1" applyAlignment="1">
      <alignment vertical="center" wrapText="1"/>
    </xf>
    <xf numFmtId="0" fontId="3" fillId="0" borderId="0" xfId="0" applyFont="1" applyBorder="1" applyAlignment="1">
      <alignment vertical="center" wrapText="1"/>
    </xf>
    <xf numFmtId="0" fontId="0" fillId="0" borderId="35" xfId="0" applyFont="1" applyBorder="1" applyAlignment="1">
      <alignment vertical="center" wrapText="1"/>
    </xf>
    <xf numFmtId="0" fontId="3" fillId="0" borderId="38" xfId="0" applyFont="1" applyBorder="1" applyAlignment="1">
      <alignment vertical="center" wrapText="1"/>
    </xf>
    <xf numFmtId="0" fontId="3" fillId="0" borderId="15" xfId="0" applyFont="1" applyBorder="1" applyAlignment="1">
      <alignment vertical="center" wrapText="1"/>
    </xf>
    <xf numFmtId="0" fontId="41" fillId="0" borderId="31"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31" xfId="0" applyFont="1" applyBorder="1" applyAlignment="1">
      <alignment horizontal="center" vertical="center" shrinkToFit="1"/>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8"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38" fillId="0" borderId="31" xfId="0" applyFont="1" applyBorder="1" applyAlignment="1">
      <alignment horizontal="center" vertical="center"/>
    </xf>
    <xf numFmtId="0" fontId="2" fillId="0" borderId="26"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lignment horizontal="left" vertical="top" wrapText="1"/>
    </xf>
    <xf numFmtId="0" fontId="2" fillId="0" borderId="0" xfId="0" applyFont="1" applyBorder="1" applyAlignment="1">
      <alignment horizontal="left" vertical="top" wrapText="1"/>
    </xf>
    <xf numFmtId="0" fontId="2" fillId="0" borderId="34" xfId="0" applyFont="1" applyBorder="1" applyAlignment="1">
      <alignment horizontal="left" vertical="top" wrapText="1"/>
    </xf>
    <xf numFmtId="0" fontId="3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32" fillId="0" borderId="10" xfId="0" applyFont="1" applyFill="1" applyBorder="1" applyAlignment="1">
      <alignment horizontal="center" vertical="center"/>
    </xf>
    <xf numFmtId="0" fontId="24" fillId="0" borderId="10" xfId="0" applyFont="1" applyFill="1" applyBorder="1" applyAlignment="1">
      <alignment horizontal="center" vertical="center"/>
    </xf>
    <xf numFmtId="0" fontId="32" fillId="0" borderId="31"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39" xfId="0" applyFont="1" applyFill="1" applyBorder="1" applyAlignment="1">
      <alignment horizontal="center" vertical="center"/>
    </xf>
    <xf numFmtId="0" fontId="32" fillId="0" borderId="39" xfId="0" applyFont="1" applyFill="1" applyBorder="1" applyAlignment="1">
      <alignment horizontal="center" vertical="center"/>
    </xf>
    <xf numFmtId="179" fontId="32" fillId="0" borderId="10" xfId="0" applyNumberFormat="1" applyFont="1" applyFill="1" applyBorder="1" applyAlignment="1">
      <alignment horizontal="center" vertical="center" shrinkToFit="1"/>
    </xf>
    <xf numFmtId="179" fontId="24" fillId="0" borderId="10" xfId="0" applyNumberFormat="1" applyFont="1" applyFill="1" applyBorder="1" applyAlignment="1">
      <alignment horizontal="center" vertical="center" shrinkToFit="1"/>
    </xf>
    <xf numFmtId="0" fontId="32" fillId="0" borderId="30"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29" xfId="0" applyFont="1" applyFill="1" applyBorder="1" applyAlignment="1">
      <alignment horizontal="center" vertical="center"/>
    </xf>
    <xf numFmtId="0" fontId="32" fillId="0" borderId="30"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32" fillId="0" borderId="32"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37" xfId="0" applyFont="1" applyFill="1" applyBorder="1" applyAlignment="1">
      <alignment horizontal="center" vertical="center"/>
    </xf>
    <xf numFmtId="0" fontId="32" fillId="0" borderId="32"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24" fillId="0" borderId="26" xfId="0" applyFont="1" applyFill="1" applyBorder="1" applyAlignment="1">
      <alignment horizontal="center" vertical="center" wrapText="1"/>
    </xf>
    <xf numFmtId="179" fontId="32" fillId="0" borderId="10" xfId="0" applyNumberFormat="1" applyFont="1" applyFill="1" applyBorder="1" applyAlignment="1">
      <alignment horizontal="center" vertical="center"/>
    </xf>
    <xf numFmtId="179" fontId="24" fillId="0" borderId="10" xfId="0" applyNumberFormat="1" applyFont="1" applyFill="1" applyBorder="1" applyAlignment="1">
      <alignment horizontal="center" vertical="center"/>
    </xf>
    <xf numFmtId="0" fontId="31" fillId="0" borderId="0" xfId="0" applyFont="1" applyFill="1" applyAlignment="1">
      <alignment horizontal="center" vertical="center"/>
    </xf>
    <xf numFmtId="0" fontId="14" fillId="0" borderId="0" xfId="0" applyFont="1" applyFill="1" applyAlignment="1">
      <alignment horizontal="center" vertical="center"/>
    </xf>
    <xf numFmtId="0" fontId="32" fillId="0" borderId="41"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4" fillId="0" borderId="19" xfId="0" applyFont="1" applyFill="1" applyBorder="1" applyAlignment="1">
      <alignment horizontal="center" vertical="center" wrapText="1"/>
    </xf>
    <xf numFmtId="184" fontId="32" fillId="0" borderId="18" xfId="0" applyNumberFormat="1" applyFont="1" applyFill="1" applyBorder="1" applyAlignment="1">
      <alignment horizontal="center" vertical="center"/>
    </xf>
    <xf numFmtId="184" fontId="24" fillId="0" borderId="19" xfId="0" applyNumberFormat="1" applyFont="1" applyFill="1" applyBorder="1" applyAlignment="1">
      <alignment horizontal="center" vertical="center"/>
    </xf>
    <xf numFmtId="0" fontId="32" fillId="0" borderId="42" xfId="0" applyFont="1" applyFill="1" applyBorder="1" applyAlignment="1">
      <alignment horizontal="center" vertical="center"/>
    </xf>
    <xf numFmtId="0" fontId="24" fillId="0" borderId="22" xfId="0" applyFont="1" applyFill="1" applyBorder="1" applyAlignment="1">
      <alignment horizontal="center" vertical="center"/>
    </xf>
    <xf numFmtId="181" fontId="32" fillId="0" borderId="41" xfId="0" applyNumberFormat="1" applyFont="1" applyFill="1" applyBorder="1" applyAlignment="1">
      <alignment horizontal="center" vertical="center" wrapText="1"/>
    </xf>
    <xf numFmtId="181" fontId="24" fillId="0" borderId="19" xfId="0" applyNumberFormat="1"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32" fillId="0" borderId="44"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8" fillId="0" borderId="0" xfId="0" applyFont="1" applyFill="1" applyAlignment="1">
      <alignment horizontal="center" vertical="center"/>
    </xf>
    <xf numFmtId="0" fontId="4" fillId="0" borderId="0" xfId="0" applyFont="1" applyFill="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83" fontId="0" fillId="0" borderId="10" xfId="0" applyNumberFormat="1" applyFont="1" applyFill="1" applyBorder="1" applyAlignment="1">
      <alignment horizontal="center" vertical="center"/>
    </xf>
    <xf numFmtId="183" fontId="3" fillId="0" borderId="10" xfId="0" applyNumberFormat="1" applyFont="1" applyFill="1" applyBorder="1" applyAlignment="1">
      <alignment horizontal="center" vertical="center"/>
    </xf>
    <xf numFmtId="0" fontId="0"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28" fillId="0" borderId="0" xfId="0" applyFont="1" applyFill="1" applyAlignment="1">
      <alignment horizontal="center" vertical="center" wrapText="1"/>
    </xf>
    <xf numFmtId="0" fontId="4" fillId="0" borderId="0" xfId="0" applyFont="1" applyFill="1" applyAlignment="1">
      <alignment horizontal="center" vertical="center" wrapText="1"/>
    </xf>
    <xf numFmtId="0" fontId="29"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183" fontId="5" fillId="0" borderId="18" xfId="0" applyNumberFormat="1" applyFont="1" applyFill="1" applyBorder="1" applyAlignment="1">
      <alignment horizontal="center" vertical="center" wrapText="1"/>
    </xf>
    <xf numFmtId="183" fontId="5" fillId="0" borderId="19" xfId="0" applyNumberFormat="1" applyFont="1" applyFill="1" applyBorder="1" applyAlignment="1">
      <alignment horizontal="center" vertical="center" wrapText="1"/>
    </xf>
    <xf numFmtId="183" fontId="29" fillId="0" borderId="42" xfId="0" applyNumberFormat="1" applyFont="1" applyFill="1" applyBorder="1" applyAlignment="1">
      <alignment horizontal="center" vertical="center" wrapText="1"/>
    </xf>
    <xf numFmtId="183" fontId="5" fillId="0" borderId="22" xfId="0" applyNumberFormat="1" applyFont="1" applyFill="1" applyBorder="1" applyAlignment="1">
      <alignment horizontal="center" vertical="center" wrapText="1"/>
    </xf>
    <xf numFmtId="0" fontId="29"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2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27" fillId="0"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1" fontId="21" fillId="0" borderId="0" xfId="44" applyNumberFormat="1" applyFont="1" applyFill="1" applyBorder="1" applyAlignment="1">
      <alignment horizontal="center" vertical="center"/>
      <protection/>
    </xf>
    <xf numFmtId="0" fontId="22" fillId="0" borderId="52" xfId="44" applyFont="1" applyFill="1" applyBorder="1" applyAlignment="1">
      <alignment horizontal="center" vertical="center" wrapText="1"/>
      <protection/>
    </xf>
    <xf numFmtId="0" fontId="23" fillId="0" borderId="52" xfId="44" applyFont="1" applyFill="1" applyBorder="1" applyAlignment="1">
      <alignment horizontal="center" vertical="center" wrapText="1"/>
      <protection/>
    </xf>
    <xf numFmtId="0" fontId="22" fillId="0" borderId="10" xfId="44" applyFont="1" applyFill="1" applyBorder="1" applyAlignment="1">
      <alignment horizontal="center" vertical="center" wrapText="1"/>
      <protection/>
    </xf>
    <xf numFmtId="0" fontId="23" fillId="0" borderId="10" xfId="44" applyFont="1" applyFill="1" applyBorder="1" applyAlignment="1">
      <alignment horizontal="center" vertical="center" wrapText="1"/>
      <protection/>
    </xf>
    <xf numFmtId="179" fontId="22" fillId="0" borderId="11" xfId="44" applyNumberFormat="1" applyFont="1" applyFill="1" applyBorder="1" applyAlignment="1">
      <alignment horizontal="center" vertical="center" wrapText="1"/>
      <protection/>
    </xf>
    <xf numFmtId="179" fontId="23" fillId="0" borderId="10" xfId="44" applyNumberFormat="1" applyFont="1" applyFill="1" applyBorder="1" applyAlignment="1">
      <alignment horizontal="center" vertical="center" wrapText="1"/>
      <protection/>
    </xf>
    <xf numFmtId="180" fontId="22" fillId="0" borderId="11" xfId="44" applyNumberFormat="1" applyFont="1" applyFill="1" applyBorder="1" applyAlignment="1">
      <alignment horizontal="center" vertical="center"/>
      <protection/>
    </xf>
    <xf numFmtId="180" fontId="23" fillId="0" borderId="10" xfId="44" applyNumberFormat="1" applyFont="1" applyFill="1" applyBorder="1" applyAlignment="1">
      <alignment horizontal="center" vertical="center"/>
      <protection/>
    </xf>
    <xf numFmtId="180" fontId="23" fillId="0" borderId="11" xfId="44" applyNumberFormat="1" applyFont="1" applyFill="1" applyBorder="1" applyAlignment="1">
      <alignment horizontal="center" vertical="center"/>
      <protection/>
    </xf>
    <xf numFmtId="181" fontId="23" fillId="0" borderId="11" xfId="44" applyNumberFormat="1" applyFont="1" applyFill="1" applyBorder="1" applyAlignment="1">
      <alignment horizontal="center" vertical="center"/>
      <protection/>
    </xf>
    <xf numFmtId="181" fontId="23" fillId="0" borderId="10" xfId="44" applyNumberFormat="1" applyFont="1" applyFill="1" applyBorder="1" applyAlignment="1">
      <alignment horizontal="center" vertical="center"/>
      <protection/>
    </xf>
    <xf numFmtId="0" fontId="22" fillId="0" borderId="53" xfId="44" applyFont="1" applyFill="1" applyBorder="1" applyAlignment="1">
      <alignment horizontal="center" vertical="center" wrapText="1"/>
      <protection/>
    </xf>
    <xf numFmtId="0" fontId="23" fillId="0" borderId="11" xfId="44" applyFont="1" applyFill="1" applyBorder="1" applyAlignment="1">
      <alignment horizontal="center" vertical="center" wrapText="1"/>
      <protection/>
    </xf>
    <xf numFmtId="179" fontId="23" fillId="0" borderId="11" xfId="44" applyNumberFormat="1" applyFont="1" applyFill="1" applyBorder="1" applyAlignment="1">
      <alignment horizontal="center" vertical="center" wrapText="1"/>
      <protection/>
    </xf>
    <xf numFmtId="180" fontId="22" fillId="0" borderId="10" xfId="44" applyNumberFormat="1" applyFont="1" applyFill="1" applyBorder="1" applyAlignment="1">
      <alignment horizontal="center" vertical="center"/>
      <protection/>
    </xf>
    <xf numFmtId="0" fontId="22" fillId="0" borderId="10" xfId="44" applyFont="1" applyFill="1" applyBorder="1" applyAlignment="1">
      <alignment horizontal="center" vertical="center"/>
      <protection/>
    </xf>
    <xf numFmtId="0" fontId="23" fillId="0" borderId="10" xfId="44" applyFont="1" applyFill="1" applyBorder="1" applyAlignment="1">
      <alignment horizontal="center" vertical="center"/>
      <protection/>
    </xf>
    <xf numFmtId="179" fontId="22" fillId="0" borderId="54" xfId="44" applyNumberFormat="1" applyFont="1" applyFill="1" applyBorder="1" applyAlignment="1">
      <alignment horizontal="center" vertical="center" wrapText="1"/>
      <protection/>
    </xf>
    <xf numFmtId="179" fontId="23" fillId="0" borderId="14" xfId="44" applyNumberFormat="1" applyFont="1" applyFill="1" applyBorder="1" applyAlignment="1">
      <alignment horizontal="center" vertical="center" wrapText="1"/>
      <protection/>
    </xf>
    <xf numFmtId="0" fontId="14" fillId="0" borderId="0" xfId="45" applyFont="1" applyAlignment="1">
      <alignment horizontal="center" vertical="center"/>
      <protection/>
    </xf>
    <xf numFmtId="0" fontId="15" fillId="0" borderId="0" xfId="45" applyFont="1" applyAlignment="1">
      <alignment horizontal="center" vertical="center"/>
      <protection/>
    </xf>
    <xf numFmtId="0" fontId="16" fillId="0" borderId="0" xfId="45" applyFont="1" applyAlignment="1">
      <alignment horizontal="center" vertical="center"/>
      <protection/>
    </xf>
    <xf numFmtId="0" fontId="17" fillId="0" borderId="0" xfId="45" applyFont="1" applyAlignment="1">
      <alignment horizontal="center" vertical="center"/>
      <protection/>
    </xf>
    <xf numFmtId="0" fontId="2" fillId="0" borderId="0" xfId="45" applyFont="1" applyAlignment="1">
      <alignment horizontal="center" vertical="center"/>
      <protection/>
    </xf>
    <xf numFmtId="0" fontId="11" fillId="0" borderId="0" xfId="0" applyFont="1" applyAlignment="1">
      <alignment horizontal="center" vertical="center"/>
    </xf>
    <xf numFmtId="0" fontId="12" fillId="0" borderId="0" xfId="0" applyFont="1" applyAlignment="1">
      <alignment horizontal="center" vertical="center"/>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1" fillId="0" borderId="0" xfId="0" applyFont="1" applyBorder="1" applyAlignment="1">
      <alignment horizontal="right" vertical="center" shrinkToFit="1"/>
    </xf>
    <xf numFmtId="0" fontId="8" fillId="0" borderId="0" xfId="0" applyFont="1" applyBorder="1" applyAlignment="1">
      <alignment horizontal="right" vertical="center" shrinkToFit="1"/>
    </xf>
    <xf numFmtId="0" fontId="1" fillId="0" borderId="1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0" xfId="0" applyFont="1" applyBorder="1" applyAlignment="1">
      <alignment horizontal="left" vertical="center" shrinkToFit="1"/>
    </xf>
    <xf numFmtId="0" fontId="8" fillId="0" borderId="10" xfId="0" applyFont="1" applyBorder="1" applyAlignment="1">
      <alignment horizontal="right" vertical="center" shrinkToFit="1"/>
    </xf>
    <xf numFmtId="0" fontId="1" fillId="0" borderId="10" xfId="0" applyFont="1" applyBorder="1" applyAlignment="1">
      <alignment horizontal="left" vertical="center" shrinkToFit="1"/>
    </xf>
    <xf numFmtId="0" fontId="9" fillId="0" borderId="10" xfId="0" applyFont="1" applyBorder="1" applyAlignment="1">
      <alignment horizontal="right" vertical="center" wrapText="1"/>
    </xf>
    <xf numFmtId="0" fontId="4" fillId="0" borderId="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73" fillId="0" borderId="0" xfId="0" applyFont="1" applyAlignment="1">
      <alignment horizontal="center" vertical="center"/>
    </xf>
    <xf numFmtId="0" fontId="74" fillId="0" borderId="0" xfId="0" applyFont="1" applyBorder="1" applyAlignment="1">
      <alignment vertical="center"/>
    </xf>
    <xf numFmtId="0" fontId="29" fillId="0" borderId="10" xfId="0" applyFont="1" applyBorder="1" applyAlignment="1">
      <alignment horizontal="center" vertical="center"/>
    </xf>
  </cellXfs>
  <cellStyles count="5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常规_S4-4-6 南珠桥工程数量表" xfId="44"/>
    <cellStyle name="常规_第二期计量" xfId="45"/>
    <cellStyle name="超级链接" xfId="46"/>
    <cellStyle name="Hyperlink" xfId="47"/>
    <cellStyle name="好" xfId="48"/>
    <cellStyle name="后继超级链接"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普通_桥梁工程清单比较表" xfId="58"/>
    <cellStyle name="Comma" xfId="59"/>
    <cellStyle name="Comma [0]" xfId="60"/>
    <cellStyle name="适中" xfId="61"/>
    <cellStyle name="输出" xfId="62"/>
    <cellStyle name="输入" xfId="63"/>
    <cellStyle name="Followed Hyperlink" xfId="64"/>
    <cellStyle name="着色 1" xfId="65"/>
    <cellStyle name="着色 2" xfId="66"/>
    <cellStyle name="着色 3" xfId="67"/>
    <cellStyle name="着色 4" xfId="68"/>
    <cellStyle name="着色 5" xfId="69"/>
    <cellStyle name="着色 6"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0c7b5\d\&#21514;&#32599;\&#35745;&#37327;&#32479;&#35745;\&#31532;&#19977;&#26399;\&#19978;&#25253;&#35745;&#37327;\&#30422;&#2649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0422;&#26495;&#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30422;&#26495;&#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t001\&#26412;&#22320;&#30913;&#30424;%20(d)\&#24037;&#20316;&#22320;&#24102;\&#28023;&#36890;2005&#24180;7&#26376;&#35745;&#37327;&#26376;&#25253;\&#29273;&#37030;&#31532;8&#26399;&#35745;&#373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556;&#22810;&#32874;\&#22825;&#28079;&#33267;&#21335;&#23665;&#29616;&#22330;&#23436;&#25104;\&#29756;&#28023;&#21306;\&#29756;&#28023;&#21508;&#26376;&#35745;&#37327;&#21306;\&#28023;&#36890;2006&#24180;6&#26376;&#35745;&#37327;\&#20809;&#26032;&#31532;11&#26399;&#35745;&#37327;&#65288;2006.6.25&#65289;&#32456;&#263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21556;&#22810;&#32874;\&#22825;&#28079;&#33267;&#21335;&#23665;&#29616;&#22330;&#23436;&#25104;\&#29756;&#28023;&#21306;\&#29756;&#28023;&#21508;&#26376;&#35745;&#37327;&#21306;\&#28023;&#36890;2006&#24180;6&#26376;&#35745;&#37327;\&#20809;&#26032;&#31532;11&#26399;&#35745;&#37327;&#65288;2006.6.25&#65289;&#32456;&#263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5745;&#37327;&#25903;&#20184;&#25253;&#34920;&#26684;&#24335;\&#31532;&#20108;&#26399;&#35745;&#37327;&#25903;&#20184;&#25253;&#34920;\&#30422;&#26495;&#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35745;&#37327;&#25903;&#20184;&#25253;&#34920;&#26684;&#24335;\&#31532;&#20108;&#26399;&#35745;&#37327;&#25903;&#20184;&#25253;&#34920;\&#30422;&#2649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盖板涵洞"/>
      <sheetName val="Sheet1"/>
      <sheetName val="Sheet2"/>
      <sheetName val="Sheet3"/>
      <sheetName val="#REF"/>
      <sheetName val="#REF!"/>
      <sheetName val="B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盖板涵洞"/>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盖板涵洞"/>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封面"/>
      <sheetName val="ZF"/>
      <sheetName val="变更1"/>
      <sheetName val="变更2"/>
      <sheetName val="进度"/>
      <sheetName val="支付"/>
      <sheetName val="工程清单"/>
      <sheetName val="材料清单"/>
      <sheetName val="永久材料1"/>
      <sheetName val="总则1"/>
      <sheetName val="挖除路面1"/>
      <sheetName val="挖方1"/>
      <sheetName val="土方1"/>
      <sheetName val="排水1"/>
      <sheetName val="暗沟1"/>
      <sheetName val="镶边1"/>
      <sheetName val="护脚墙1"/>
      <sheetName val="底基层1"/>
      <sheetName val="涵洞1"/>
      <sheetName val="代扣材料款1"/>
      <sheetName val="土石方2"/>
      <sheetName val="排水2"/>
      <sheetName val="暗沟2"/>
      <sheetName val="镶边2"/>
      <sheetName val="基层2"/>
      <sheetName val="底基层2"/>
      <sheetName val="涵洞2"/>
      <sheetName val="代扣材料款2"/>
      <sheetName val="材料1"/>
      <sheetName val="材料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ZF"/>
      <sheetName val="面"/>
      <sheetName val="柱图"/>
      <sheetName val="B1"/>
      <sheetName val="B2"/>
      <sheetName val="B3（东成至新英）"/>
      <sheetName val="B3（光村至东成） "/>
      <sheetName val="B3 (路面)"/>
      <sheetName val="B3 (交通工程)"/>
      <sheetName val="B3碎石"/>
      <sheetName val="备料表（D1）"/>
      <sheetName val="变更（路基汇总）"/>
      <sheetName val="变更（东-光）"/>
      <sheetName val="变更（东-新）"/>
      <sheetName val="变更 (路面)"/>
      <sheetName val="汇总表（东成至新英）"/>
      <sheetName val="汇总表（光村至东成） "/>
      <sheetName val="汇总表(路面)"/>
      <sheetName val="汇总 (交通工程)"/>
      <sheetName val="1土方(东-新)"/>
      <sheetName val="2排水防护 (东-新)"/>
      <sheetName val="3路面(东-新)"/>
      <sheetName val="4路口级配(东-新)"/>
      <sheetName val="5涵洞(东-新)"/>
      <sheetName val="6桥梁(东-新)"/>
      <sheetName val="7路肩(东-新)"/>
      <sheetName val="排水防护图示(东-新)"/>
      <sheetName val="8土方(东-光)"/>
      <sheetName val="9排水防护(东-光)"/>
      <sheetName val="10路面(东-光)"/>
      <sheetName val="11路口级配(东-光)"/>
      <sheetName val="12路肩(东-光)"/>
      <sheetName val="13涵洞(东-光)"/>
      <sheetName val="14桥梁(东-光)"/>
      <sheetName val="排水防护图示(东-光)"/>
      <sheetName val="15沥青路面(东-新)"/>
      <sheetName val="16沥青路面(东-光)"/>
      <sheetName val="17沥青路面(汇总)"/>
      <sheetName val="18标志"/>
      <sheetName val="19标线"/>
      <sheetName val="20人行道"/>
      <sheetName val="21标线(汇总)"/>
      <sheetName val="22里程碑"/>
      <sheetName val="23道口标柱"/>
      <sheetName val="代扣材料款"/>
      <sheetName val="数据"/>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ZF"/>
      <sheetName val="面"/>
      <sheetName val="柱图"/>
      <sheetName val="B1"/>
      <sheetName val="B2"/>
      <sheetName val="B3（东成至新英）"/>
      <sheetName val="B3（光村至东成） "/>
      <sheetName val="B3 (路面)"/>
      <sheetName val="B3 (交通工程)"/>
      <sheetName val="B3碎石"/>
      <sheetName val="备料表（D1）"/>
      <sheetName val="变更（路基汇总）"/>
      <sheetName val="变更（东-光）"/>
      <sheetName val="变更（东-新）"/>
      <sheetName val="变更 (路面)"/>
      <sheetName val="汇总表（东成至新英）"/>
      <sheetName val="汇总表（光村至东成） "/>
      <sheetName val="汇总表(路面)"/>
      <sheetName val="汇总 (交通工程)"/>
      <sheetName val="1土方(东-新)"/>
      <sheetName val="2排水防护 (东-新)"/>
      <sheetName val="3路面(东-新)"/>
      <sheetName val="4路口级配(东-新)"/>
      <sheetName val="5涵洞(东-新)"/>
      <sheetName val="6桥梁(东-新)"/>
      <sheetName val="7路肩(东-新)"/>
      <sheetName val="排水防护图示(东-新)"/>
      <sheetName val="8土方(东-光)"/>
      <sheetName val="9排水防护(东-光)"/>
      <sheetName val="10路面(东-光)"/>
      <sheetName val="11路口级配(东-光)"/>
      <sheetName val="12路肩(东-光)"/>
      <sheetName val="13涵洞(东-光)"/>
      <sheetName val="14桥梁(东-光)"/>
      <sheetName val="排水防护图示(东-光)"/>
      <sheetName val="15沥青路面(东-新)"/>
      <sheetName val="16沥青路面(东-光)"/>
      <sheetName val="17沥青路面(汇总)"/>
      <sheetName val="18标志"/>
      <sheetName val="19标线"/>
      <sheetName val="20人行道"/>
      <sheetName val="21标线(汇总)"/>
      <sheetName val="22里程碑"/>
      <sheetName val="23道口标柱"/>
      <sheetName val="代扣材料款"/>
      <sheetName val="数据"/>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盖板涵洞"/>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盖板涵洞"/>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2"/>
  <sheetViews>
    <sheetView zoomScalePageLayoutView="0" workbookViewId="0" topLeftCell="A1">
      <selection activeCell="F38" sqref="F38"/>
    </sheetView>
  </sheetViews>
  <sheetFormatPr defaultColWidth="9.00390625" defaultRowHeight="14.25"/>
  <cols>
    <col min="1" max="1" width="6.625" style="8" customWidth="1"/>
    <col min="2" max="2" width="12.125" style="8" customWidth="1"/>
    <col min="3" max="3" width="21.625" style="8" customWidth="1"/>
    <col min="4" max="4" width="6.00390625" style="8" customWidth="1"/>
    <col min="5" max="11" width="10.125" style="8" customWidth="1"/>
    <col min="12" max="12" width="11.875" style="8" customWidth="1"/>
    <col min="13" max="16384" width="9.00390625" style="8" customWidth="1"/>
  </cols>
  <sheetData>
    <row r="1" spans="1:12" s="241" customFormat="1" ht="26.25" customHeight="1">
      <c r="A1" s="279" t="e">
        <f>#REF!</f>
        <v>#REF!</v>
      </c>
      <c r="B1" s="279"/>
      <c r="C1" s="279"/>
      <c r="D1" s="279"/>
      <c r="E1" s="279"/>
      <c r="F1" s="279"/>
      <c r="G1" s="279"/>
      <c r="H1" s="279"/>
      <c r="I1" s="279"/>
      <c r="J1" s="279"/>
      <c r="K1" s="279"/>
      <c r="L1" s="279"/>
    </row>
    <row r="2" spans="1:12" ht="41.25" customHeight="1">
      <c r="A2" s="280" t="s">
        <v>0</v>
      </c>
      <c r="B2" s="281"/>
      <c r="C2" s="281"/>
      <c r="D2" s="281"/>
      <c r="E2" s="281"/>
      <c r="F2" s="281"/>
      <c r="G2" s="281"/>
      <c r="H2" s="281"/>
      <c r="I2" s="281"/>
      <c r="J2" s="281"/>
      <c r="K2" s="281"/>
      <c r="L2" s="281"/>
    </row>
    <row r="3" spans="1:9" s="241" customFormat="1" ht="32.25" customHeight="1">
      <c r="A3" s="265" t="s">
        <v>1</v>
      </c>
      <c r="C3" s="241" t="e">
        <f>#REF!</f>
        <v>#REF!</v>
      </c>
      <c r="H3" s="266" t="s">
        <v>2</v>
      </c>
      <c r="I3" s="241" t="e">
        <f>#REF!</f>
        <v>#REF!</v>
      </c>
    </row>
    <row r="4" spans="1:9" s="241" customFormat="1" ht="32.25" customHeight="1">
      <c r="A4" s="265" t="s">
        <v>3</v>
      </c>
      <c r="C4" s="241" t="e">
        <f>#REF!</f>
        <v>#REF!</v>
      </c>
      <c r="H4" s="266" t="s">
        <v>4</v>
      </c>
      <c r="I4" s="241" t="e">
        <f>#REF!</f>
        <v>#REF!</v>
      </c>
    </row>
    <row r="5" spans="1:12" s="241" customFormat="1" ht="27.75" customHeight="1">
      <c r="A5" s="267" t="s">
        <v>5</v>
      </c>
      <c r="B5" s="268"/>
      <c r="C5" s="268"/>
      <c r="D5" s="268"/>
      <c r="E5" s="268"/>
      <c r="F5" s="268"/>
      <c r="G5" s="268"/>
      <c r="H5" s="268"/>
      <c r="I5" s="268"/>
      <c r="J5" s="268"/>
      <c r="K5" s="268"/>
      <c r="L5" s="272"/>
    </row>
    <row r="6" spans="1:12" s="241" customFormat="1" ht="51.75" customHeight="1">
      <c r="A6" s="282" t="s">
        <v>6</v>
      </c>
      <c r="B6" s="283"/>
      <c r="C6" s="283"/>
      <c r="D6" s="283"/>
      <c r="E6" s="283"/>
      <c r="F6" s="283"/>
      <c r="G6" s="283"/>
      <c r="H6" s="283"/>
      <c r="I6" s="283"/>
      <c r="J6" s="283"/>
      <c r="K6" s="283"/>
      <c r="L6" s="284"/>
    </row>
    <row r="7" spans="1:12" s="241" customFormat="1" ht="47.25" customHeight="1">
      <c r="A7" s="285" t="s">
        <v>7</v>
      </c>
      <c r="B7" s="286"/>
      <c r="C7" s="287" t="s">
        <v>8</v>
      </c>
      <c r="D7" s="283"/>
      <c r="E7" s="283"/>
      <c r="F7" s="283"/>
      <c r="G7" s="283"/>
      <c r="H7" s="283"/>
      <c r="I7" s="283"/>
      <c r="J7" s="283"/>
      <c r="K7" s="283"/>
      <c r="L7" s="284"/>
    </row>
    <row r="8" spans="1:12" s="241" customFormat="1" ht="32.25" customHeight="1">
      <c r="A8" s="285" t="s">
        <v>9</v>
      </c>
      <c r="B8" s="286"/>
      <c r="C8" s="287" t="s">
        <v>10</v>
      </c>
      <c r="D8" s="283"/>
      <c r="E8" s="283"/>
      <c r="F8" s="283"/>
      <c r="G8" s="283"/>
      <c r="H8" s="283"/>
      <c r="I8" s="283"/>
      <c r="J8" s="283"/>
      <c r="K8" s="283"/>
      <c r="L8" s="284"/>
    </row>
    <row r="9" spans="1:12" s="241" customFormat="1" ht="32.25" customHeight="1">
      <c r="A9" s="269" t="s">
        <v>11</v>
      </c>
      <c r="B9" s="270"/>
      <c r="C9" s="270"/>
      <c r="D9" s="270"/>
      <c r="E9" s="270"/>
      <c r="F9" s="270"/>
      <c r="G9" s="270"/>
      <c r="H9" s="270"/>
      <c r="I9" s="270"/>
      <c r="J9" s="270"/>
      <c r="K9" s="270"/>
      <c r="L9" s="273"/>
    </row>
    <row r="10" spans="1:12" s="1" customFormat="1" ht="33" customHeight="1">
      <c r="A10" s="300" t="s">
        <v>12</v>
      </c>
      <c r="B10" s="288" t="s">
        <v>13</v>
      </c>
      <c r="C10" s="288" t="s">
        <v>14</v>
      </c>
      <c r="D10" s="288" t="s">
        <v>15</v>
      </c>
      <c r="E10" s="288" t="s">
        <v>16</v>
      </c>
      <c r="F10" s="289"/>
      <c r="G10" s="300" t="s">
        <v>17</v>
      </c>
      <c r="H10" s="300" t="s">
        <v>18</v>
      </c>
      <c r="I10" s="290" t="s">
        <v>19</v>
      </c>
      <c r="J10" s="291"/>
      <c r="K10" s="290" t="s">
        <v>20</v>
      </c>
      <c r="L10" s="291"/>
    </row>
    <row r="11" spans="1:12" s="1" customFormat="1" ht="33" customHeight="1">
      <c r="A11" s="301"/>
      <c r="B11" s="289"/>
      <c r="C11" s="289"/>
      <c r="D11" s="289"/>
      <c r="E11" s="221" t="s">
        <v>21</v>
      </c>
      <c r="F11" s="221" t="s">
        <v>22</v>
      </c>
      <c r="G11" s="302"/>
      <c r="H11" s="302"/>
      <c r="I11" s="271" t="s">
        <v>23</v>
      </c>
      <c r="J11" s="271" t="s">
        <v>24</v>
      </c>
      <c r="K11" s="271" t="s">
        <v>23</v>
      </c>
      <c r="L11" s="271" t="s">
        <v>24</v>
      </c>
    </row>
    <row r="12" spans="1:12" s="1" customFormat="1" ht="27" customHeight="1">
      <c r="A12" s="301"/>
      <c r="B12" s="246" t="s">
        <v>25</v>
      </c>
      <c r="C12" s="247" t="s">
        <v>26</v>
      </c>
      <c r="D12" s="246" t="s">
        <v>27</v>
      </c>
      <c r="E12" s="246">
        <v>3.45</v>
      </c>
      <c r="F12" s="246"/>
      <c r="G12" s="250">
        <f>'云龙至文儒公路改建工程K34+300-K35+420段取消实施'!E6</f>
        <v>3770</v>
      </c>
      <c r="H12" s="249">
        <v>0</v>
      </c>
      <c r="I12" s="11">
        <v>0</v>
      </c>
      <c r="J12" s="30">
        <f aca="true" t="shared" si="0" ref="J12:J68">G12</f>
        <v>3770</v>
      </c>
      <c r="K12" s="11">
        <v>0</v>
      </c>
      <c r="L12" s="31">
        <f aca="true" t="shared" si="1" ref="L12:L68">J12*E12</f>
        <v>13006.5</v>
      </c>
    </row>
    <row r="13" spans="1:12" s="1" customFormat="1" ht="27" customHeight="1">
      <c r="A13" s="301"/>
      <c r="B13" s="246" t="s">
        <v>28</v>
      </c>
      <c r="C13" s="247" t="s">
        <v>29</v>
      </c>
      <c r="D13" s="246" t="s">
        <v>30</v>
      </c>
      <c r="E13" s="246">
        <v>176.47</v>
      </c>
      <c r="F13" s="246"/>
      <c r="G13" s="250">
        <f>'云龙至文儒公路改建工程K34+300-K35+420段取消实施'!E7</f>
        <v>20</v>
      </c>
      <c r="H13" s="249">
        <v>0</v>
      </c>
      <c r="I13" s="11">
        <v>0</v>
      </c>
      <c r="J13" s="30">
        <f t="shared" si="0"/>
        <v>20</v>
      </c>
      <c r="K13" s="11">
        <v>0</v>
      </c>
      <c r="L13" s="31">
        <f t="shared" si="1"/>
        <v>3529.4</v>
      </c>
    </row>
    <row r="14" spans="1:12" s="1" customFormat="1" ht="27" customHeight="1">
      <c r="A14" s="301"/>
      <c r="B14" s="246" t="s">
        <v>31</v>
      </c>
      <c r="C14" s="247" t="s">
        <v>32</v>
      </c>
      <c r="D14" s="246" t="s">
        <v>30</v>
      </c>
      <c r="E14" s="246">
        <v>82.18</v>
      </c>
      <c r="F14" s="246"/>
      <c r="G14" s="250">
        <f>'云龙至文儒公路改建工程K34+300-K35+420段取消实施'!E8</f>
        <v>480</v>
      </c>
      <c r="H14" s="249">
        <v>0</v>
      </c>
      <c r="I14" s="11">
        <v>0</v>
      </c>
      <c r="J14" s="30">
        <f t="shared" si="0"/>
        <v>480</v>
      </c>
      <c r="K14" s="11">
        <v>0</v>
      </c>
      <c r="L14" s="31">
        <f t="shared" si="1"/>
        <v>39446.4</v>
      </c>
    </row>
    <row r="15" spans="1:12" s="1" customFormat="1" ht="27" customHeight="1">
      <c r="A15" s="301"/>
      <c r="B15" s="246" t="s">
        <v>33</v>
      </c>
      <c r="C15" s="247" t="s">
        <v>34</v>
      </c>
      <c r="D15" s="246" t="s">
        <v>30</v>
      </c>
      <c r="E15" s="246">
        <v>19.43</v>
      </c>
      <c r="F15" s="246"/>
      <c r="G15" s="250">
        <f>'云龙至文儒公路改建工程K34+300-K35+420段取消实施'!E9</f>
        <v>3119</v>
      </c>
      <c r="H15" s="249">
        <v>0</v>
      </c>
      <c r="I15" s="11">
        <v>0</v>
      </c>
      <c r="J15" s="30">
        <f t="shared" si="0"/>
        <v>3119</v>
      </c>
      <c r="K15" s="11">
        <v>0</v>
      </c>
      <c r="L15" s="31">
        <f t="shared" si="1"/>
        <v>60602.17</v>
      </c>
    </row>
    <row r="16" spans="1:12" s="1" customFormat="1" ht="27" customHeight="1">
      <c r="A16" s="301"/>
      <c r="B16" s="246" t="s">
        <v>35</v>
      </c>
      <c r="C16" s="247" t="s">
        <v>36</v>
      </c>
      <c r="D16" s="246" t="s">
        <v>30</v>
      </c>
      <c r="E16" s="246">
        <v>73.68</v>
      </c>
      <c r="F16" s="246"/>
      <c r="G16" s="250">
        <f>'云龙至文儒公路改建工程K34+300-K35+420段取消实施'!E10</f>
        <v>118</v>
      </c>
      <c r="H16" s="249">
        <v>0</v>
      </c>
      <c r="I16" s="11">
        <v>0</v>
      </c>
      <c r="J16" s="30">
        <f t="shared" si="0"/>
        <v>118</v>
      </c>
      <c r="K16" s="11">
        <v>0</v>
      </c>
      <c r="L16" s="31">
        <f t="shared" si="1"/>
        <v>8694.240000000002</v>
      </c>
    </row>
    <row r="17" spans="1:12" s="1" customFormat="1" ht="27" customHeight="1">
      <c r="A17" s="301"/>
      <c r="B17" s="246" t="s">
        <v>37</v>
      </c>
      <c r="C17" s="247" t="s">
        <v>38</v>
      </c>
      <c r="D17" s="246" t="s">
        <v>30</v>
      </c>
      <c r="E17" s="246">
        <v>7.41</v>
      </c>
      <c r="F17" s="246"/>
      <c r="G17" s="250">
        <f>'云龙至文儒公路改建工程K34+300-K35+420段取消实施'!E11</f>
        <v>2089</v>
      </c>
      <c r="H17" s="249">
        <v>0</v>
      </c>
      <c r="I17" s="11">
        <v>0</v>
      </c>
      <c r="J17" s="30">
        <f t="shared" si="0"/>
        <v>2089</v>
      </c>
      <c r="K17" s="11">
        <v>0</v>
      </c>
      <c r="L17" s="31">
        <f t="shared" si="1"/>
        <v>15479.49</v>
      </c>
    </row>
    <row r="18" spans="1:12" s="1" customFormat="1" ht="27" customHeight="1">
      <c r="A18" s="301"/>
      <c r="B18" s="246" t="s">
        <v>39</v>
      </c>
      <c r="C18" s="247" t="s">
        <v>40</v>
      </c>
      <c r="D18" s="246" t="s">
        <v>30</v>
      </c>
      <c r="E18" s="246">
        <v>60.32</v>
      </c>
      <c r="F18" s="246"/>
      <c r="G18" s="250">
        <f>'云龙至文儒公路改建工程K34+300-K35+420段取消实施'!E12</f>
        <v>7285</v>
      </c>
      <c r="H18" s="249">
        <v>0</v>
      </c>
      <c r="I18" s="11">
        <v>0</v>
      </c>
      <c r="J18" s="30">
        <f t="shared" si="0"/>
        <v>7285</v>
      </c>
      <c r="K18" s="11">
        <v>0</v>
      </c>
      <c r="L18" s="31">
        <f t="shared" si="1"/>
        <v>439431.2</v>
      </c>
    </row>
    <row r="19" spans="1:12" s="1" customFormat="1" ht="27" customHeight="1">
      <c r="A19" s="301"/>
      <c r="B19" s="246" t="s">
        <v>41</v>
      </c>
      <c r="C19" s="247" t="s">
        <v>42</v>
      </c>
      <c r="D19" s="246" t="s">
        <v>30</v>
      </c>
      <c r="E19" s="246">
        <v>65.71</v>
      </c>
      <c r="F19" s="246"/>
      <c r="G19" s="250">
        <f>'云龙至文儒公路改建工程K34+300-K35+420段取消实施'!E13</f>
        <v>1377</v>
      </c>
      <c r="H19" s="249">
        <v>0</v>
      </c>
      <c r="I19" s="11">
        <v>0</v>
      </c>
      <c r="J19" s="30">
        <f t="shared" si="0"/>
        <v>1377</v>
      </c>
      <c r="K19" s="11">
        <v>0</v>
      </c>
      <c r="L19" s="31">
        <f t="shared" si="1"/>
        <v>90482.67</v>
      </c>
    </row>
    <row r="20" spans="1:12" s="1" customFormat="1" ht="27" customHeight="1">
      <c r="A20" s="301"/>
      <c r="B20" s="246" t="s">
        <v>43</v>
      </c>
      <c r="C20" s="247" t="s">
        <v>44</v>
      </c>
      <c r="D20" s="246" t="s">
        <v>30</v>
      </c>
      <c r="E20" s="246">
        <v>86.99</v>
      </c>
      <c r="F20" s="246"/>
      <c r="G20" s="250">
        <f>'云龙至文儒公路改建工程K34+300-K35+420段取消实施'!E14</f>
        <v>193.61</v>
      </c>
      <c r="H20" s="249">
        <v>0</v>
      </c>
      <c r="I20" s="11">
        <v>0</v>
      </c>
      <c r="J20" s="30">
        <f t="shared" si="0"/>
        <v>193.61</v>
      </c>
      <c r="K20" s="11">
        <v>0</v>
      </c>
      <c r="L20" s="31">
        <f t="shared" si="1"/>
        <v>16842.1339</v>
      </c>
    </row>
    <row r="21" spans="1:12" s="1" customFormat="1" ht="27" customHeight="1">
      <c r="A21" s="301"/>
      <c r="B21" s="246" t="s">
        <v>45</v>
      </c>
      <c r="C21" s="247" t="s">
        <v>46</v>
      </c>
      <c r="D21" s="246" t="s">
        <v>27</v>
      </c>
      <c r="E21" s="246">
        <v>12.4</v>
      </c>
      <c r="F21" s="246"/>
      <c r="G21" s="250">
        <f>'云龙至文儒公路改建工程K34+300-K35+420段取消实施'!E15</f>
        <v>642</v>
      </c>
      <c r="H21" s="249">
        <v>0</v>
      </c>
      <c r="I21" s="11">
        <v>0</v>
      </c>
      <c r="J21" s="30">
        <f t="shared" si="0"/>
        <v>642</v>
      </c>
      <c r="K21" s="11">
        <v>0</v>
      </c>
      <c r="L21" s="31">
        <f t="shared" si="1"/>
        <v>7960.8</v>
      </c>
    </row>
    <row r="22" spans="1:12" s="1" customFormat="1" ht="27" customHeight="1">
      <c r="A22" s="301"/>
      <c r="B22" s="246" t="s">
        <v>47</v>
      </c>
      <c r="C22" s="247" t="s">
        <v>48</v>
      </c>
      <c r="D22" s="246" t="s">
        <v>30</v>
      </c>
      <c r="E22" s="246">
        <v>378.61</v>
      </c>
      <c r="F22" s="246"/>
      <c r="G22" s="250">
        <f>'云龙至文儒公路改建工程K34+300-K35+420段取消实施'!E16</f>
        <v>242.7707142857143</v>
      </c>
      <c r="H22" s="249">
        <v>0</v>
      </c>
      <c r="I22" s="11">
        <v>0</v>
      </c>
      <c r="J22" s="30">
        <f t="shared" si="0"/>
        <v>242.7707142857143</v>
      </c>
      <c r="K22" s="11">
        <v>0</v>
      </c>
      <c r="L22" s="31">
        <f t="shared" si="1"/>
        <v>91915.42013571429</v>
      </c>
    </row>
    <row r="23" spans="1:12" s="1" customFormat="1" ht="27" customHeight="1">
      <c r="A23" s="301"/>
      <c r="B23" s="246" t="s">
        <v>49</v>
      </c>
      <c r="C23" s="247" t="s">
        <v>50</v>
      </c>
      <c r="D23" s="246" t="s">
        <v>51</v>
      </c>
      <c r="E23" s="246">
        <v>701.18</v>
      </c>
      <c r="F23" s="246"/>
      <c r="G23" s="250">
        <f>'云龙至文儒公路改建工程K34+300-K35+420段取消实施'!E17</f>
        <v>115</v>
      </c>
      <c r="H23" s="249">
        <v>0</v>
      </c>
      <c r="I23" s="11">
        <v>0</v>
      </c>
      <c r="J23" s="30">
        <f t="shared" si="0"/>
        <v>115</v>
      </c>
      <c r="K23" s="11">
        <v>0</v>
      </c>
      <c r="L23" s="31">
        <f t="shared" si="1"/>
        <v>80635.7</v>
      </c>
    </row>
    <row r="24" spans="1:12" s="1" customFormat="1" ht="27" customHeight="1">
      <c r="A24" s="301"/>
      <c r="B24" s="246" t="s">
        <v>52</v>
      </c>
      <c r="C24" s="247" t="s">
        <v>53</v>
      </c>
      <c r="D24" s="246" t="s">
        <v>27</v>
      </c>
      <c r="E24" s="246">
        <v>13.5</v>
      </c>
      <c r="F24" s="246"/>
      <c r="G24" s="250">
        <f>'云龙至文儒公路改建工程K34+300-K35+420段取消实施'!E18</f>
        <v>591.12</v>
      </c>
      <c r="H24" s="249">
        <v>0</v>
      </c>
      <c r="I24" s="11">
        <v>0</v>
      </c>
      <c r="J24" s="30">
        <f t="shared" si="0"/>
        <v>591.12</v>
      </c>
      <c r="K24" s="11">
        <v>0</v>
      </c>
      <c r="L24" s="31">
        <f t="shared" si="1"/>
        <v>7980.12</v>
      </c>
    </row>
    <row r="25" spans="1:12" s="1" customFormat="1" ht="27" customHeight="1">
      <c r="A25" s="301"/>
      <c r="B25" s="246" t="s">
        <v>54</v>
      </c>
      <c r="C25" s="247" t="s">
        <v>55</v>
      </c>
      <c r="D25" s="246" t="s">
        <v>30</v>
      </c>
      <c r="E25" s="246">
        <v>340.67</v>
      </c>
      <c r="F25" s="246"/>
      <c r="G25" s="250">
        <f>'云龙至文儒公路改建工程K34+300-K35+420段取消实施'!E19</f>
        <v>1688.0542857142857</v>
      </c>
      <c r="H25" s="249">
        <v>0</v>
      </c>
      <c r="I25" s="11">
        <v>0</v>
      </c>
      <c r="J25" s="30">
        <f t="shared" si="0"/>
        <v>1688.0542857142857</v>
      </c>
      <c r="K25" s="11">
        <v>0</v>
      </c>
      <c r="L25" s="31">
        <f t="shared" si="1"/>
        <v>575069.4535142857</v>
      </c>
    </row>
    <row r="26" spans="1:12" s="1" customFormat="1" ht="27" customHeight="1">
      <c r="A26" s="301"/>
      <c r="B26" s="246" t="s">
        <v>56</v>
      </c>
      <c r="C26" s="247" t="s">
        <v>57</v>
      </c>
      <c r="D26" s="246" t="s">
        <v>30</v>
      </c>
      <c r="E26" s="246">
        <v>328.56</v>
      </c>
      <c r="F26" s="246"/>
      <c r="G26" s="250">
        <f>'云龙至文儒公路改建工程K34+300-K35+420段取消实施'!E20</f>
        <v>1943.08696</v>
      </c>
      <c r="H26" s="249">
        <v>0</v>
      </c>
      <c r="I26" s="11">
        <v>0</v>
      </c>
      <c r="J26" s="30">
        <f t="shared" si="0"/>
        <v>1943.08696</v>
      </c>
      <c r="K26" s="11">
        <v>0</v>
      </c>
      <c r="L26" s="31">
        <f t="shared" si="1"/>
        <v>638420.6515776</v>
      </c>
    </row>
    <row r="27" spans="1:12" s="1" customFormat="1" ht="27" customHeight="1">
      <c r="A27" s="301"/>
      <c r="B27" s="246" t="s">
        <v>58</v>
      </c>
      <c r="C27" s="247" t="s">
        <v>59</v>
      </c>
      <c r="D27" s="246" t="s">
        <v>30</v>
      </c>
      <c r="E27" s="246">
        <v>199.36</v>
      </c>
      <c r="F27" s="246"/>
      <c r="G27" s="250">
        <f>'云龙至文儒公路改建工程K34+300-K35+420段取消实施'!E21</f>
        <v>374.09999999999997</v>
      </c>
      <c r="H27" s="249">
        <v>0</v>
      </c>
      <c r="I27" s="11">
        <v>0</v>
      </c>
      <c r="J27" s="30">
        <f t="shared" si="0"/>
        <v>374.09999999999997</v>
      </c>
      <c r="K27" s="11">
        <v>0</v>
      </c>
      <c r="L27" s="31">
        <f t="shared" si="1"/>
        <v>74580.576</v>
      </c>
    </row>
    <row r="28" spans="1:12" s="1" customFormat="1" ht="27" customHeight="1">
      <c r="A28" s="301"/>
      <c r="B28" s="246" t="s">
        <v>60</v>
      </c>
      <c r="C28" s="249" t="s">
        <v>61</v>
      </c>
      <c r="D28" s="246" t="s">
        <v>30</v>
      </c>
      <c r="E28" s="246">
        <v>376.18</v>
      </c>
      <c r="F28" s="246"/>
      <c r="G28" s="250">
        <f>'云龙至文儒公路改建工程K34+300-K35+420段取消实施'!E22</f>
        <v>44.6</v>
      </c>
      <c r="H28" s="249">
        <v>0</v>
      </c>
      <c r="I28" s="11">
        <v>0</v>
      </c>
      <c r="J28" s="30">
        <f t="shared" si="0"/>
        <v>44.6</v>
      </c>
      <c r="K28" s="11">
        <v>0</v>
      </c>
      <c r="L28" s="31">
        <f t="shared" si="1"/>
        <v>16777.628</v>
      </c>
    </row>
    <row r="29" spans="1:12" s="1" customFormat="1" ht="27" customHeight="1">
      <c r="A29" s="301"/>
      <c r="B29" s="246" t="s">
        <v>62</v>
      </c>
      <c r="C29" s="247" t="s">
        <v>63</v>
      </c>
      <c r="D29" s="246" t="s">
        <v>30</v>
      </c>
      <c r="E29" s="246">
        <v>114.76</v>
      </c>
      <c r="F29" s="246"/>
      <c r="G29" s="250">
        <f>'云龙至文儒公路改建工程K34+300-K35+420段取消实施'!E23</f>
        <v>28.83</v>
      </c>
      <c r="H29" s="249">
        <v>0</v>
      </c>
      <c r="I29" s="11">
        <v>0</v>
      </c>
      <c r="J29" s="30">
        <f t="shared" si="0"/>
        <v>28.83</v>
      </c>
      <c r="K29" s="11">
        <v>0</v>
      </c>
      <c r="L29" s="31">
        <f t="shared" si="1"/>
        <v>3308.5308</v>
      </c>
    </row>
    <row r="30" spans="1:12" s="1" customFormat="1" ht="27" customHeight="1">
      <c r="A30" s="301"/>
      <c r="B30" s="246" t="s">
        <v>64</v>
      </c>
      <c r="C30" s="247" t="s">
        <v>65</v>
      </c>
      <c r="D30" s="246" t="s">
        <v>27</v>
      </c>
      <c r="E30" s="246">
        <v>49.68</v>
      </c>
      <c r="F30" s="246"/>
      <c r="G30" s="250">
        <f>'云龙至文儒公路改建工程K34+300-K35+420段取消实施'!E24</f>
        <v>10298</v>
      </c>
      <c r="H30" s="249">
        <v>0</v>
      </c>
      <c r="I30" s="11">
        <v>0</v>
      </c>
      <c r="J30" s="30">
        <f t="shared" si="0"/>
        <v>10298</v>
      </c>
      <c r="K30" s="11">
        <v>0</v>
      </c>
      <c r="L30" s="31">
        <f t="shared" si="1"/>
        <v>511604.64</v>
      </c>
    </row>
    <row r="31" spans="1:12" s="1" customFormat="1" ht="27" customHeight="1">
      <c r="A31" s="301"/>
      <c r="B31" s="246" t="s">
        <v>66</v>
      </c>
      <c r="C31" s="247" t="s">
        <v>67</v>
      </c>
      <c r="D31" s="246" t="s">
        <v>27</v>
      </c>
      <c r="E31" s="246">
        <v>9.21</v>
      </c>
      <c r="F31" s="246"/>
      <c r="G31" s="250">
        <f>'云龙至文儒公路改建工程K34+300-K35+420段取消实施'!E25</f>
        <v>5454</v>
      </c>
      <c r="H31" s="249">
        <v>0</v>
      </c>
      <c r="I31" s="11">
        <v>0</v>
      </c>
      <c r="J31" s="30">
        <f t="shared" si="0"/>
        <v>5454</v>
      </c>
      <c r="K31" s="11">
        <v>0</v>
      </c>
      <c r="L31" s="31">
        <f t="shared" si="1"/>
        <v>50231.340000000004</v>
      </c>
    </row>
    <row r="32" spans="1:12" s="1" customFormat="1" ht="27" customHeight="1">
      <c r="A32" s="301"/>
      <c r="B32" s="246" t="s">
        <v>68</v>
      </c>
      <c r="C32" s="247" t="s">
        <v>69</v>
      </c>
      <c r="D32" s="246" t="s">
        <v>27</v>
      </c>
      <c r="E32" s="246">
        <v>24.23</v>
      </c>
      <c r="F32" s="246"/>
      <c r="G32" s="250">
        <f>'云龙至文儒公路改建工程K34+300-K35+420段取消实施'!E26</f>
        <v>5454</v>
      </c>
      <c r="H32" s="249">
        <v>0</v>
      </c>
      <c r="I32" s="11">
        <v>0</v>
      </c>
      <c r="J32" s="30">
        <f t="shared" si="0"/>
        <v>5454</v>
      </c>
      <c r="K32" s="11">
        <v>0</v>
      </c>
      <c r="L32" s="31">
        <f t="shared" si="1"/>
        <v>132150.42</v>
      </c>
    </row>
    <row r="33" spans="1:12" s="1" customFormat="1" ht="27" customHeight="1">
      <c r="A33" s="301"/>
      <c r="B33" s="246" t="s">
        <v>70</v>
      </c>
      <c r="C33" s="247" t="s">
        <v>71</v>
      </c>
      <c r="D33" s="246" t="s">
        <v>27</v>
      </c>
      <c r="E33" s="246">
        <v>32.31</v>
      </c>
      <c r="F33" s="246"/>
      <c r="G33" s="250">
        <f>'云龙至文儒公路改建工程K34+300-K35+420段取消实施'!E27</f>
        <v>5494.4</v>
      </c>
      <c r="H33" s="249">
        <v>0</v>
      </c>
      <c r="I33" s="11">
        <v>0</v>
      </c>
      <c r="J33" s="30">
        <f t="shared" si="0"/>
        <v>5494.4</v>
      </c>
      <c r="K33" s="11">
        <v>0</v>
      </c>
      <c r="L33" s="31">
        <f t="shared" si="1"/>
        <v>177524.064</v>
      </c>
    </row>
    <row r="34" spans="1:12" s="1" customFormat="1" ht="27" customHeight="1">
      <c r="A34" s="301"/>
      <c r="B34" s="246" t="s">
        <v>72</v>
      </c>
      <c r="C34" s="247" t="s">
        <v>73</v>
      </c>
      <c r="D34" s="246" t="s">
        <v>27</v>
      </c>
      <c r="E34" s="246">
        <v>25.3</v>
      </c>
      <c r="F34" s="246"/>
      <c r="G34" s="250">
        <f>'云龙至文儒公路改建工程K34+300-K35+420段取消实施'!E28</f>
        <v>853.9000000000001</v>
      </c>
      <c r="H34" s="249">
        <v>0</v>
      </c>
      <c r="I34" s="11">
        <v>0</v>
      </c>
      <c r="J34" s="30">
        <f t="shared" si="0"/>
        <v>853.9000000000001</v>
      </c>
      <c r="K34" s="11">
        <v>0</v>
      </c>
      <c r="L34" s="31">
        <f t="shared" si="1"/>
        <v>21603.670000000002</v>
      </c>
    </row>
    <row r="35" spans="1:12" s="1" customFormat="1" ht="27" customHeight="1">
      <c r="A35" s="301"/>
      <c r="B35" s="246" t="s">
        <v>74</v>
      </c>
      <c r="C35" s="247" t="s">
        <v>75</v>
      </c>
      <c r="D35" s="246" t="s">
        <v>27</v>
      </c>
      <c r="E35" s="246">
        <v>8.88</v>
      </c>
      <c r="F35" s="246"/>
      <c r="G35" s="250">
        <f>'云龙至文儒公路改建工程K34+300-K35+420段取消实施'!E29</f>
        <v>10623.2</v>
      </c>
      <c r="H35" s="249">
        <v>0</v>
      </c>
      <c r="I35" s="11">
        <v>0</v>
      </c>
      <c r="J35" s="30">
        <f t="shared" si="0"/>
        <v>10623.2</v>
      </c>
      <c r="K35" s="11">
        <v>0</v>
      </c>
      <c r="L35" s="31">
        <f t="shared" si="1"/>
        <v>94334.01600000002</v>
      </c>
    </row>
    <row r="36" spans="1:12" s="1" customFormat="1" ht="27" customHeight="1">
      <c r="A36" s="301"/>
      <c r="B36" s="246" t="s">
        <v>76</v>
      </c>
      <c r="C36" s="247" t="s">
        <v>77</v>
      </c>
      <c r="D36" s="252" t="s">
        <v>27</v>
      </c>
      <c r="E36" s="253">
        <v>87.26</v>
      </c>
      <c r="F36" s="246"/>
      <c r="G36" s="250">
        <f>'云龙至文儒公路改建工程K34+300-K35+420段取消实施'!E30</f>
        <v>284.21999999999997</v>
      </c>
      <c r="H36" s="249">
        <v>0</v>
      </c>
      <c r="I36" s="11">
        <v>0</v>
      </c>
      <c r="J36" s="30">
        <f t="shared" si="0"/>
        <v>284.21999999999997</v>
      </c>
      <c r="K36" s="11">
        <v>0</v>
      </c>
      <c r="L36" s="31">
        <f t="shared" si="1"/>
        <v>24801.0372</v>
      </c>
    </row>
    <row r="37" spans="1:12" s="1" customFormat="1" ht="27" customHeight="1">
      <c r="A37" s="301"/>
      <c r="B37" s="246" t="s">
        <v>78</v>
      </c>
      <c r="C37" s="247" t="s">
        <v>79</v>
      </c>
      <c r="D37" s="246" t="s">
        <v>27</v>
      </c>
      <c r="E37" s="246">
        <v>124.63</v>
      </c>
      <c r="F37" s="246"/>
      <c r="G37" s="250">
        <f>'云龙至文儒公路改建工程K34+300-K35+420段取消实施'!E31</f>
        <v>9756</v>
      </c>
      <c r="H37" s="249">
        <v>0</v>
      </c>
      <c r="I37" s="11">
        <v>0</v>
      </c>
      <c r="J37" s="30">
        <f t="shared" si="0"/>
        <v>9756</v>
      </c>
      <c r="K37" s="11">
        <v>0</v>
      </c>
      <c r="L37" s="31">
        <f t="shared" si="1"/>
        <v>1215890.28</v>
      </c>
    </row>
    <row r="38" spans="1:12" s="1" customFormat="1" ht="29.25" customHeight="1">
      <c r="A38" s="290" t="s">
        <v>12</v>
      </c>
      <c r="B38" s="249" t="s">
        <v>80</v>
      </c>
      <c r="C38" s="247" t="s">
        <v>81</v>
      </c>
      <c r="D38" s="252" t="s">
        <v>30</v>
      </c>
      <c r="E38" s="246">
        <v>498</v>
      </c>
      <c r="F38" s="246"/>
      <c r="G38" s="250">
        <f>'云龙至文儒公路改建工程K34+300-K35+420段取消实施'!E32</f>
        <v>3.58</v>
      </c>
      <c r="H38" s="249">
        <v>0</v>
      </c>
      <c r="I38" s="11">
        <v>0</v>
      </c>
      <c r="J38" s="30">
        <f t="shared" si="0"/>
        <v>3.58</v>
      </c>
      <c r="K38" s="11">
        <v>0</v>
      </c>
      <c r="L38" s="31">
        <f t="shared" si="1"/>
        <v>1782.8400000000001</v>
      </c>
    </row>
    <row r="39" spans="1:12" s="1" customFormat="1" ht="29.25" customHeight="1">
      <c r="A39" s="291"/>
      <c r="B39" s="249" t="s">
        <v>82</v>
      </c>
      <c r="C39" s="247" t="s">
        <v>83</v>
      </c>
      <c r="D39" s="252" t="s">
        <v>84</v>
      </c>
      <c r="E39" s="246">
        <v>6.58</v>
      </c>
      <c r="F39" s="246"/>
      <c r="G39" s="250">
        <f>'云龙至文儒公路改建工程K34+300-K35+420段取消实施'!E33</f>
        <v>1520.3679650772333</v>
      </c>
      <c r="H39" s="249">
        <v>0</v>
      </c>
      <c r="I39" s="11">
        <v>0</v>
      </c>
      <c r="J39" s="30">
        <f t="shared" si="0"/>
        <v>1520.3679650772333</v>
      </c>
      <c r="K39" s="11">
        <v>0</v>
      </c>
      <c r="L39" s="31">
        <f t="shared" si="1"/>
        <v>10004.021210208195</v>
      </c>
    </row>
    <row r="40" spans="1:12" s="1" customFormat="1" ht="29.25" customHeight="1">
      <c r="A40" s="291"/>
      <c r="B40" s="249" t="s">
        <v>85</v>
      </c>
      <c r="C40" s="247" t="s">
        <v>86</v>
      </c>
      <c r="D40" s="246" t="s">
        <v>84</v>
      </c>
      <c r="E40" s="246">
        <v>6.01</v>
      </c>
      <c r="F40" s="246"/>
      <c r="G40" s="250">
        <f>'云龙至文儒公路改建工程K34+300-K35+420段取消实施'!E34</f>
        <v>5073.498455339154</v>
      </c>
      <c r="H40" s="249">
        <v>0</v>
      </c>
      <c r="I40" s="11">
        <v>0</v>
      </c>
      <c r="J40" s="30">
        <f t="shared" si="0"/>
        <v>5073.498455339154</v>
      </c>
      <c r="K40" s="11">
        <v>0</v>
      </c>
      <c r="L40" s="31">
        <f t="shared" si="1"/>
        <v>30491.725716588317</v>
      </c>
    </row>
    <row r="41" spans="1:12" s="1" customFormat="1" ht="29.25" customHeight="1">
      <c r="A41" s="291"/>
      <c r="B41" s="249" t="s">
        <v>87</v>
      </c>
      <c r="C41" s="247" t="s">
        <v>88</v>
      </c>
      <c r="D41" s="246" t="s">
        <v>30</v>
      </c>
      <c r="E41" s="246">
        <v>26.18</v>
      </c>
      <c r="F41" s="246"/>
      <c r="G41" s="250">
        <f>'云龙至文儒公路改建工程K34+300-K35+420段取消实施'!E35</f>
        <v>54.2</v>
      </c>
      <c r="H41" s="249">
        <v>0</v>
      </c>
      <c r="I41" s="11">
        <v>0</v>
      </c>
      <c r="J41" s="30">
        <f t="shared" si="0"/>
        <v>54.2</v>
      </c>
      <c r="K41" s="11">
        <v>0</v>
      </c>
      <c r="L41" s="31">
        <f t="shared" si="1"/>
        <v>1418.9560000000001</v>
      </c>
    </row>
    <row r="42" spans="1:12" s="1" customFormat="1" ht="29.25" customHeight="1">
      <c r="A42" s="291"/>
      <c r="B42" s="254" t="s">
        <v>89</v>
      </c>
      <c r="C42" s="255" t="s">
        <v>90</v>
      </c>
      <c r="D42" s="246" t="s">
        <v>27</v>
      </c>
      <c r="E42" s="254">
        <v>81.78</v>
      </c>
      <c r="F42" s="246"/>
      <c r="G42" s="250">
        <f>'云龙至文儒公路改建工程K34+300-K35+420段取消实施'!E36</f>
        <v>1084</v>
      </c>
      <c r="H42" s="249">
        <v>0</v>
      </c>
      <c r="I42" s="11">
        <v>0</v>
      </c>
      <c r="J42" s="30">
        <f t="shared" si="0"/>
        <v>1084</v>
      </c>
      <c r="K42" s="11">
        <v>0</v>
      </c>
      <c r="L42" s="31">
        <f t="shared" si="1"/>
        <v>88649.52</v>
      </c>
    </row>
    <row r="43" spans="1:12" s="1" customFormat="1" ht="29.25" customHeight="1">
      <c r="A43" s="291"/>
      <c r="B43" s="254" t="s">
        <v>91</v>
      </c>
      <c r="C43" s="256" t="s">
        <v>92</v>
      </c>
      <c r="D43" s="246" t="s">
        <v>84</v>
      </c>
      <c r="E43" s="254">
        <v>6.31</v>
      </c>
      <c r="F43" s="246"/>
      <c r="G43" s="250">
        <f>'云龙至文儒公路改建工程K34+300-K35+420段取消实施'!E37</f>
        <v>3330.2</v>
      </c>
      <c r="H43" s="249">
        <v>0</v>
      </c>
      <c r="I43" s="11">
        <v>0</v>
      </c>
      <c r="J43" s="30">
        <f t="shared" si="0"/>
        <v>3330.2</v>
      </c>
      <c r="K43" s="11">
        <v>0</v>
      </c>
      <c r="L43" s="31">
        <f t="shared" si="1"/>
        <v>21013.561999999998</v>
      </c>
    </row>
    <row r="44" spans="1:12" s="1" customFormat="1" ht="29.25" customHeight="1">
      <c r="A44" s="291"/>
      <c r="B44" s="254" t="s">
        <v>93</v>
      </c>
      <c r="C44" s="256" t="s">
        <v>94</v>
      </c>
      <c r="D44" s="246" t="s">
        <v>84</v>
      </c>
      <c r="E44" s="254">
        <v>6.1</v>
      </c>
      <c r="F44" s="246"/>
      <c r="G44" s="250">
        <f>'云龙至文儒公路改建工程K34+300-K35+420段取消实施'!E38</f>
        <v>31758.199999999997</v>
      </c>
      <c r="H44" s="249">
        <v>0</v>
      </c>
      <c r="I44" s="11">
        <v>0</v>
      </c>
      <c r="J44" s="30">
        <f t="shared" si="0"/>
        <v>31758.199999999997</v>
      </c>
      <c r="K44" s="11">
        <v>0</v>
      </c>
      <c r="L44" s="31">
        <f t="shared" si="1"/>
        <v>193725.01999999996</v>
      </c>
    </row>
    <row r="45" spans="1:12" s="1" customFormat="1" ht="29.25" customHeight="1">
      <c r="A45" s="291"/>
      <c r="B45" s="254" t="s">
        <v>95</v>
      </c>
      <c r="C45" s="256" t="s">
        <v>96</v>
      </c>
      <c r="D45" s="246" t="s">
        <v>84</v>
      </c>
      <c r="E45" s="254">
        <v>6.48</v>
      </c>
      <c r="F45" s="246"/>
      <c r="G45" s="250">
        <f>'云龙至文儒公路改建工程K34+300-K35+420段取消实施'!E39</f>
        <v>1099.0000000000002</v>
      </c>
      <c r="H45" s="249">
        <v>0</v>
      </c>
      <c r="I45" s="11">
        <v>0</v>
      </c>
      <c r="J45" s="30">
        <f t="shared" si="0"/>
        <v>1099.0000000000002</v>
      </c>
      <c r="K45" s="11">
        <v>0</v>
      </c>
      <c r="L45" s="31">
        <f t="shared" si="1"/>
        <v>7121.520000000002</v>
      </c>
    </row>
    <row r="46" spans="1:12" s="1" customFormat="1" ht="29.25" customHeight="1">
      <c r="A46" s="291"/>
      <c r="B46" s="254" t="s">
        <v>97</v>
      </c>
      <c r="C46" s="256" t="s">
        <v>98</v>
      </c>
      <c r="D46" s="246" t="s">
        <v>84</v>
      </c>
      <c r="E46" s="254">
        <v>6.27</v>
      </c>
      <c r="F46" s="246"/>
      <c r="G46" s="250">
        <f>'云龙至文儒公路改建工程K34+300-K35+420段取消实施'!E40</f>
        <v>13800</v>
      </c>
      <c r="H46" s="249">
        <v>0</v>
      </c>
      <c r="I46" s="11">
        <v>0</v>
      </c>
      <c r="J46" s="30">
        <f t="shared" si="0"/>
        <v>13800</v>
      </c>
      <c r="K46" s="11">
        <v>0</v>
      </c>
      <c r="L46" s="31">
        <f t="shared" si="1"/>
        <v>86526</v>
      </c>
    </row>
    <row r="47" spans="1:12" s="1" customFormat="1" ht="29.25" customHeight="1">
      <c r="A47" s="291"/>
      <c r="B47" s="254" t="s">
        <v>99</v>
      </c>
      <c r="C47" s="256" t="s">
        <v>100</v>
      </c>
      <c r="D47" s="246" t="s">
        <v>84</v>
      </c>
      <c r="E47" s="254">
        <v>6.41</v>
      </c>
      <c r="F47" s="246"/>
      <c r="G47" s="250">
        <f>'云龙至文儒公路改建工程K34+300-K35+420段取消实施'!E41</f>
        <v>4324</v>
      </c>
      <c r="H47" s="249">
        <v>0</v>
      </c>
      <c r="I47" s="11">
        <v>0</v>
      </c>
      <c r="J47" s="30">
        <f t="shared" si="0"/>
        <v>4324</v>
      </c>
      <c r="K47" s="11">
        <v>0</v>
      </c>
      <c r="L47" s="31">
        <f t="shared" si="1"/>
        <v>27716.84</v>
      </c>
    </row>
    <row r="48" spans="1:12" s="1" customFormat="1" ht="29.25" customHeight="1">
      <c r="A48" s="291"/>
      <c r="B48" s="254" t="s">
        <v>101</v>
      </c>
      <c r="C48" s="256" t="s">
        <v>102</v>
      </c>
      <c r="D48" s="246" t="s">
        <v>84</v>
      </c>
      <c r="E48" s="254">
        <v>6.25</v>
      </c>
      <c r="F48" s="246"/>
      <c r="G48" s="250">
        <f>'云龙至文儒公路改建工程K34+300-K35+420段取消实施'!E42</f>
        <v>20776</v>
      </c>
      <c r="H48" s="249">
        <v>0</v>
      </c>
      <c r="I48" s="11">
        <v>0</v>
      </c>
      <c r="J48" s="30">
        <f t="shared" si="0"/>
        <v>20776</v>
      </c>
      <c r="K48" s="11">
        <v>0</v>
      </c>
      <c r="L48" s="31">
        <f t="shared" si="1"/>
        <v>129850</v>
      </c>
    </row>
    <row r="49" spans="1:12" s="1" customFormat="1" ht="29.25" customHeight="1">
      <c r="A49" s="291"/>
      <c r="B49" s="254" t="s">
        <v>103</v>
      </c>
      <c r="C49" s="256" t="s">
        <v>104</v>
      </c>
      <c r="D49" s="246" t="s">
        <v>84</v>
      </c>
      <c r="E49" s="254">
        <v>6.45</v>
      </c>
      <c r="F49" s="246"/>
      <c r="G49" s="250">
        <f>'云龙至文儒公路改建工程K34+300-K35+420段取消实施'!E43</f>
        <v>2694.7812000000004</v>
      </c>
      <c r="H49" s="249">
        <v>0</v>
      </c>
      <c r="I49" s="11">
        <v>0</v>
      </c>
      <c r="J49" s="30">
        <f t="shared" si="0"/>
        <v>2694.7812000000004</v>
      </c>
      <c r="K49" s="11">
        <v>0</v>
      </c>
      <c r="L49" s="31">
        <f t="shared" si="1"/>
        <v>17381.338740000003</v>
      </c>
    </row>
    <row r="50" spans="1:12" s="1" customFormat="1" ht="29.25" customHeight="1">
      <c r="A50" s="291"/>
      <c r="B50" s="254" t="s">
        <v>105</v>
      </c>
      <c r="C50" s="256" t="s">
        <v>106</v>
      </c>
      <c r="D50" s="246" t="s">
        <v>84</v>
      </c>
      <c r="E50" s="254">
        <v>6.26</v>
      </c>
      <c r="F50" s="246"/>
      <c r="G50" s="250">
        <f>'云龙至文儒公路改建工程K34+300-K35+420段取消实施'!E44</f>
        <v>14217.0896</v>
      </c>
      <c r="H50" s="249">
        <v>0</v>
      </c>
      <c r="I50" s="11">
        <v>0</v>
      </c>
      <c r="J50" s="30">
        <f t="shared" si="0"/>
        <v>14217.0896</v>
      </c>
      <c r="K50" s="11">
        <v>0</v>
      </c>
      <c r="L50" s="31">
        <f t="shared" si="1"/>
        <v>88998.980896</v>
      </c>
    </row>
    <row r="51" spans="1:12" s="1" customFormat="1" ht="29.25" customHeight="1">
      <c r="A51" s="291"/>
      <c r="B51" s="254" t="s">
        <v>107</v>
      </c>
      <c r="C51" s="256" t="s">
        <v>108</v>
      </c>
      <c r="D51" s="246" t="s">
        <v>30</v>
      </c>
      <c r="E51" s="254">
        <v>24.08</v>
      </c>
      <c r="F51" s="246"/>
      <c r="G51" s="250">
        <f>'云龙至文儒公路改建工程K34+300-K35+420段取消实施'!E45</f>
        <v>1765</v>
      </c>
      <c r="H51" s="249">
        <v>0</v>
      </c>
      <c r="I51" s="11">
        <v>0</v>
      </c>
      <c r="J51" s="30">
        <f t="shared" si="0"/>
        <v>1765</v>
      </c>
      <c r="K51" s="11">
        <v>0</v>
      </c>
      <c r="L51" s="31">
        <f t="shared" si="1"/>
        <v>42501.2</v>
      </c>
    </row>
    <row r="52" spans="1:12" s="1" customFormat="1" ht="29.25" customHeight="1">
      <c r="A52" s="291"/>
      <c r="B52" s="254" t="s">
        <v>109</v>
      </c>
      <c r="C52" s="256" t="s">
        <v>110</v>
      </c>
      <c r="D52" s="246" t="s">
        <v>111</v>
      </c>
      <c r="E52" s="254">
        <v>1854.48</v>
      </c>
      <c r="F52" s="246"/>
      <c r="G52" s="250">
        <f>'云龙至文儒公路改建工程K34+300-K35+420段取消实施'!E46</f>
        <v>160</v>
      </c>
      <c r="H52" s="249">
        <v>0</v>
      </c>
      <c r="I52" s="11">
        <v>0</v>
      </c>
      <c r="J52" s="30">
        <f t="shared" si="0"/>
        <v>160</v>
      </c>
      <c r="K52" s="11">
        <v>0</v>
      </c>
      <c r="L52" s="31">
        <f t="shared" si="1"/>
        <v>296716.8</v>
      </c>
    </row>
    <row r="53" spans="1:12" s="1" customFormat="1" ht="29.25" customHeight="1">
      <c r="A53" s="291"/>
      <c r="B53" s="254" t="s">
        <v>112</v>
      </c>
      <c r="C53" s="257" t="s">
        <v>113</v>
      </c>
      <c r="D53" s="246" t="s">
        <v>30</v>
      </c>
      <c r="E53" s="254">
        <v>529.1</v>
      </c>
      <c r="F53" s="246"/>
      <c r="G53" s="250">
        <f>'云龙至文儒公路改建工程K34+300-K35+420段取消实施'!E47</f>
        <v>270.4</v>
      </c>
      <c r="H53" s="249">
        <v>0</v>
      </c>
      <c r="I53" s="11">
        <v>0</v>
      </c>
      <c r="J53" s="30">
        <f t="shared" si="0"/>
        <v>270.4</v>
      </c>
      <c r="K53" s="11">
        <v>0</v>
      </c>
      <c r="L53" s="31">
        <f t="shared" si="1"/>
        <v>143068.63999999998</v>
      </c>
    </row>
    <row r="54" spans="1:12" s="1" customFormat="1" ht="29.25" customHeight="1">
      <c r="A54" s="291"/>
      <c r="B54" s="254" t="s">
        <v>114</v>
      </c>
      <c r="C54" s="257" t="s">
        <v>115</v>
      </c>
      <c r="D54" s="246" t="s">
        <v>30</v>
      </c>
      <c r="E54" s="254">
        <v>779.85</v>
      </c>
      <c r="F54" s="246"/>
      <c r="G54" s="250">
        <f>'云龙至文儒公路改建工程K34+300-K35+420段取消实施'!E48</f>
        <v>88.88</v>
      </c>
      <c r="H54" s="249">
        <v>0</v>
      </c>
      <c r="I54" s="11">
        <v>0</v>
      </c>
      <c r="J54" s="30">
        <f t="shared" si="0"/>
        <v>88.88</v>
      </c>
      <c r="K54" s="11">
        <v>0</v>
      </c>
      <c r="L54" s="31">
        <f t="shared" si="1"/>
        <v>69313.068</v>
      </c>
    </row>
    <row r="55" spans="1:12" s="1" customFormat="1" ht="29.25" customHeight="1">
      <c r="A55" s="291"/>
      <c r="B55" s="254" t="s">
        <v>116</v>
      </c>
      <c r="C55" s="257" t="s">
        <v>117</v>
      </c>
      <c r="D55" s="246" t="s">
        <v>30</v>
      </c>
      <c r="E55" s="254">
        <v>848.08</v>
      </c>
      <c r="F55" s="246"/>
      <c r="G55" s="250">
        <f>'云龙至文儒公路改建工程K34+300-K35+420段取消实施'!E49</f>
        <v>21.98</v>
      </c>
      <c r="H55" s="249">
        <v>0</v>
      </c>
      <c r="I55" s="11">
        <v>0</v>
      </c>
      <c r="J55" s="30">
        <f t="shared" si="0"/>
        <v>21.98</v>
      </c>
      <c r="K55" s="11">
        <v>0</v>
      </c>
      <c r="L55" s="31">
        <f t="shared" si="1"/>
        <v>18640.7984</v>
      </c>
    </row>
    <row r="56" spans="1:12" s="1" customFormat="1" ht="29.25" customHeight="1">
      <c r="A56" s="291"/>
      <c r="B56" s="254" t="s">
        <v>118</v>
      </c>
      <c r="C56" s="257" t="s">
        <v>119</v>
      </c>
      <c r="D56" s="246" t="s">
        <v>30</v>
      </c>
      <c r="E56" s="254">
        <v>920.57</v>
      </c>
      <c r="F56" s="246"/>
      <c r="G56" s="250">
        <f>'云龙至文儒公路改建工程K34+300-K35+420段取消实施'!E50</f>
        <v>18.96</v>
      </c>
      <c r="H56" s="249">
        <v>0</v>
      </c>
      <c r="I56" s="11">
        <v>0</v>
      </c>
      <c r="J56" s="30">
        <f t="shared" si="0"/>
        <v>18.96</v>
      </c>
      <c r="K56" s="11">
        <v>0</v>
      </c>
      <c r="L56" s="31">
        <f t="shared" si="1"/>
        <v>17454.0072</v>
      </c>
    </row>
    <row r="57" spans="1:12" s="1" customFormat="1" ht="29.25" customHeight="1">
      <c r="A57" s="291"/>
      <c r="B57" s="254" t="s">
        <v>120</v>
      </c>
      <c r="C57" s="257" t="s">
        <v>121</v>
      </c>
      <c r="D57" s="246" t="s">
        <v>30</v>
      </c>
      <c r="E57" s="254">
        <v>622.69</v>
      </c>
      <c r="F57" s="246"/>
      <c r="G57" s="250">
        <f>'云龙至文儒公路改建工程K34+300-K35+420段取消实施'!E51</f>
        <v>61.6</v>
      </c>
      <c r="H57" s="249">
        <v>0</v>
      </c>
      <c r="I57" s="11">
        <v>0</v>
      </c>
      <c r="J57" s="30">
        <f t="shared" si="0"/>
        <v>61.6</v>
      </c>
      <c r="K57" s="11">
        <v>0</v>
      </c>
      <c r="L57" s="31">
        <f t="shared" si="1"/>
        <v>38357.704000000005</v>
      </c>
    </row>
    <row r="58" spans="1:12" s="1" customFormat="1" ht="29.25" customHeight="1">
      <c r="A58" s="291"/>
      <c r="B58" s="254" t="s">
        <v>122</v>
      </c>
      <c r="C58" s="257" t="s">
        <v>123</v>
      </c>
      <c r="D58" s="246" t="s">
        <v>30</v>
      </c>
      <c r="E58" s="254">
        <v>888.08</v>
      </c>
      <c r="F58" s="246"/>
      <c r="G58" s="250">
        <f>'云龙至文儒公路改建工程K34+300-K35+420段取消实施'!E52</f>
        <v>16.67664</v>
      </c>
      <c r="H58" s="249">
        <v>0</v>
      </c>
      <c r="I58" s="11">
        <v>0</v>
      </c>
      <c r="J58" s="30">
        <f t="shared" si="0"/>
        <v>16.67664</v>
      </c>
      <c r="K58" s="11">
        <v>0</v>
      </c>
      <c r="L58" s="31">
        <f t="shared" si="1"/>
        <v>14810.1904512</v>
      </c>
    </row>
    <row r="59" spans="1:12" s="1" customFormat="1" ht="29.25" customHeight="1">
      <c r="A59" s="291"/>
      <c r="B59" s="254" t="s">
        <v>124</v>
      </c>
      <c r="C59" s="257" t="s">
        <v>125</v>
      </c>
      <c r="D59" s="246" t="s">
        <v>30</v>
      </c>
      <c r="E59" s="254">
        <v>786.73</v>
      </c>
      <c r="F59" s="246"/>
      <c r="G59" s="250">
        <f>'云龙至文儒公路改建工程K34+300-K35+420段取消实施'!E53</f>
        <v>0.836</v>
      </c>
      <c r="H59" s="249">
        <v>0</v>
      </c>
      <c r="I59" s="11">
        <v>0</v>
      </c>
      <c r="J59" s="30">
        <f t="shared" si="0"/>
        <v>0.836</v>
      </c>
      <c r="K59" s="11">
        <v>0</v>
      </c>
      <c r="L59" s="31">
        <f t="shared" si="1"/>
        <v>657.70628</v>
      </c>
    </row>
    <row r="60" spans="1:12" s="1" customFormat="1" ht="29.25" customHeight="1">
      <c r="A60" s="291"/>
      <c r="B60" s="254" t="s">
        <v>126</v>
      </c>
      <c r="C60" s="256" t="s">
        <v>127</v>
      </c>
      <c r="D60" s="246" t="s">
        <v>84</v>
      </c>
      <c r="E60" s="254">
        <v>13.81</v>
      </c>
      <c r="F60" s="246"/>
      <c r="G60" s="250">
        <f>'云龙至文儒公路改建工程K34+300-K35+420段取消实施'!E54</f>
        <v>3809</v>
      </c>
      <c r="H60" s="249">
        <v>0</v>
      </c>
      <c r="I60" s="11">
        <v>0</v>
      </c>
      <c r="J60" s="30">
        <f t="shared" si="0"/>
        <v>3809</v>
      </c>
      <c r="K60" s="11">
        <v>0</v>
      </c>
      <c r="L60" s="31">
        <f t="shared" si="1"/>
        <v>52602.29</v>
      </c>
    </row>
    <row r="61" spans="1:12" s="1" customFormat="1" ht="29.25" customHeight="1">
      <c r="A61" s="291"/>
      <c r="B61" s="254" t="s">
        <v>128</v>
      </c>
      <c r="C61" s="257" t="s">
        <v>129</v>
      </c>
      <c r="D61" s="246" t="s">
        <v>30</v>
      </c>
      <c r="E61" s="254">
        <v>850.04</v>
      </c>
      <c r="F61" s="246"/>
      <c r="G61" s="250">
        <f>'云龙至文儒公路改建工程K34+300-K35+420段取消实施'!E55</f>
        <v>3.8</v>
      </c>
      <c r="H61" s="249">
        <v>0</v>
      </c>
      <c r="I61" s="11">
        <v>0</v>
      </c>
      <c r="J61" s="30">
        <f t="shared" si="0"/>
        <v>3.8</v>
      </c>
      <c r="K61" s="11">
        <v>0</v>
      </c>
      <c r="L61" s="31">
        <f t="shared" si="1"/>
        <v>3230.1519999999996</v>
      </c>
    </row>
    <row r="62" spans="1:12" s="1" customFormat="1" ht="29.25" customHeight="1">
      <c r="A62" s="291"/>
      <c r="B62" s="254" t="s">
        <v>130</v>
      </c>
      <c r="C62" s="257" t="s">
        <v>131</v>
      </c>
      <c r="D62" s="246" t="s">
        <v>30</v>
      </c>
      <c r="E62" s="254">
        <v>1963.42</v>
      </c>
      <c r="F62" s="246"/>
      <c r="G62" s="250">
        <f>'云龙至文儒公路改建工程K34+300-K35+420段取消实施'!E56</f>
        <v>108.8</v>
      </c>
      <c r="H62" s="249">
        <v>0</v>
      </c>
      <c r="I62" s="11">
        <v>0</v>
      </c>
      <c r="J62" s="30">
        <f t="shared" si="0"/>
        <v>108.8</v>
      </c>
      <c r="K62" s="11">
        <v>0</v>
      </c>
      <c r="L62" s="31">
        <f t="shared" si="1"/>
        <v>213620.096</v>
      </c>
    </row>
    <row r="63" spans="1:12" s="1" customFormat="1" ht="29.25" customHeight="1">
      <c r="A63" s="291"/>
      <c r="B63" s="254" t="s">
        <v>132</v>
      </c>
      <c r="C63" s="257" t="s">
        <v>133</v>
      </c>
      <c r="D63" s="246" t="s">
        <v>30</v>
      </c>
      <c r="E63" s="254">
        <v>348.98</v>
      </c>
      <c r="F63" s="246"/>
      <c r="G63" s="250">
        <f>'云龙至文儒公路改建工程K34+300-K35+420段取消实施'!E57</f>
        <v>193.82999999999998</v>
      </c>
      <c r="H63" s="249">
        <v>0</v>
      </c>
      <c r="I63" s="11">
        <v>0</v>
      </c>
      <c r="J63" s="30">
        <f t="shared" si="0"/>
        <v>193.82999999999998</v>
      </c>
      <c r="K63" s="11">
        <v>0</v>
      </c>
      <c r="L63" s="31">
        <f t="shared" si="1"/>
        <v>67642.7934</v>
      </c>
    </row>
    <row r="64" spans="1:12" s="1" customFormat="1" ht="27" customHeight="1">
      <c r="A64" s="290" t="s">
        <v>12</v>
      </c>
      <c r="B64" s="254" t="s">
        <v>134</v>
      </c>
      <c r="C64" s="257" t="s">
        <v>135</v>
      </c>
      <c r="D64" s="246" t="s">
        <v>27</v>
      </c>
      <c r="E64" s="254">
        <v>135.35</v>
      </c>
      <c r="F64" s="246"/>
      <c r="G64" s="250">
        <f>'云龙至文儒公路改建工程K34+300-K35+420段取消实施'!E58</f>
        <v>176</v>
      </c>
      <c r="H64" s="249">
        <v>0</v>
      </c>
      <c r="I64" s="11">
        <v>0</v>
      </c>
      <c r="J64" s="30">
        <f t="shared" si="0"/>
        <v>176</v>
      </c>
      <c r="K64" s="11">
        <v>0</v>
      </c>
      <c r="L64" s="31">
        <f t="shared" si="1"/>
        <v>23821.6</v>
      </c>
    </row>
    <row r="65" spans="1:12" s="1" customFormat="1" ht="27" customHeight="1">
      <c r="A65" s="291"/>
      <c r="B65" s="254" t="s">
        <v>136</v>
      </c>
      <c r="C65" s="257" t="s">
        <v>137</v>
      </c>
      <c r="D65" s="246" t="s">
        <v>30</v>
      </c>
      <c r="E65" s="254">
        <v>676.72</v>
      </c>
      <c r="F65" s="246"/>
      <c r="G65" s="250">
        <f>'云龙至文儒公路改建工程K34+300-K35+420段取消实施'!E59</f>
        <v>62</v>
      </c>
      <c r="H65" s="249">
        <v>0</v>
      </c>
      <c r="I65" s="11">
        <v>0</v>
      </c>
      <c r="J65" s="30">
        <f t="shared" si="0"/>
        <v>62</v>
      </c>
      <c r="K65" s="11">
        <v>0</v>
      </c>
      <c r="L65" s="31">
        <f t="shared" si="1"/>
        <v>41956.64</v>
      </c>
    </row>
    <row r="66" spans="1:12" s="1" customFormat="1" ht="27" customHeight="1">
      <c r="A66" s="291"/>
      <c r="B66" s="254" t="s">
        <v>138</v>
      </c>
      <c r="C66" s="256" t="s">
        <v>139</v>
      </c>
      <c r="D66" s="254" t="s">
        <v>27</v>
      </c>
      <c r="E66" s="254">
        <v>98.65</v>
      </c>
      <c r="F66" s="246"/>
      <c r="G66" s="250">
        <f>'云龙至文儒公路改建工程K34+300-K35+420段取消实施'!E60</f>
        <v>219.6</v>
      </c>
      <c r="H66" s="249">
        <v>0</v>
      </c>
      <c r="I66" s="11">
        <v>0</v>
      </c>
      <c r="J66" s="30">
        <f t="shared" si="0"/>
        <v>219.6</v>
      </c>
      <c r="K66" s="11">
        <v>0</v>
      </c>
      <c r="L66" s="31">
        <f t="shared" si="1"/>
        <v>21663.54</v>
      </c>
    </row>
    <row r="67" spans="1:12" s="1" customFormat="1" ht="27" customHeight="1">
      <c r="A67" s="291"/>
      <c r="B67" s="254" t="s">
        <v>140</v>
      </c>
      <c r="C67" s="257" t="s">
        <v>141</v>
      </c>
      <c r="D67" s="258" t="s">
        <v>142</v>
      </c>
      <c r="E67" s="259">
        <v>229.27</v>
      </c>
      <c r="F67" s="246"/>
      <c r="G67" s="250">
        <f>'云龙至文儒公路改建工程K34+300-K35+420段取消实施'!E61</f>
        <v>36</v>
      </c>
      <c r="H67" s="249">
        <v>0</v>
      </c>
      <c r="I67" s="11">
        <v>0</v>
      </c>
      <c r="J67" s="30">
        <f t="shared" si="0"/>
        <v>36</v>
      </c>
      <c r="K67" s="11">
        <v>0</v>
      </c>
      <c r="L67" s="31">
        <f t="shared" si="1"/>
        <v>8253.720000000001</v>
      </c>
    </row>
    <row r="68" spans="1:12" s="1" customFormat="1" ht="27" customHeight="1">
      <c r="A68" s="291"/>
      <c r="B68" s="254" t="s">
        <v>143</v>
      </c>
      <c r="C68" s="257" t="s">
        <v>144</v>
      </c>
      <c r="D68" s="254" t="s">
        <v>51</v>
      </c>
      <c r="E68" s="259">
        <v>2262.27</v>
      </c>
      <c r="F68" s="246"/>
      <c r="G68" s="250">
        <f>'云龙至文儒公路改建工程K34+300-K35+420段取消实施'!E62</f>
        <v>24</v>
      </c>
      <c r="H68" s="249">
        <v>0</v>
      </c>
      <c r="I68" s="11">
        <v>0</v>
      </c>
      <c r="J68" s="30">
        <f t="shared" si="0"/>
        <v>24</v>
      </c>
      <c r="K68" s="11">
        <v>0</v>
      </c>
      <c r="L68" s="31">
        <f t="shared" si="1"/>
        <v>54294.479999999996</v>
      </c>
    </row>
    <row r="69" spans="1:12" s="1" customFormat="1" ht="27" customHeight="1">
      <c r="A69" s="291"/>
      <c r="B69" s="254" t="s">
        <v>145</v>
      </c>
      <c r="C69" s="257" t="s">
        <v>146</v>
      </c>
      <c r="D69" s="254" t="s">
        <v>51</v>
      </c>
      <c r="E69" s="254">
        <v>253.48</v>
      </c>
      <c r="F69" s="246"/>
      <c r="G69" s="250">
        <f>'云龙至文儒公路改建工程K34+300-K35+420段取消实施'!E63</f>
        <v>224</v>
      </c>
      <c r="H69" s="249">
        <v>0</v>
      </c>
      <c r="I69" s="11">
        <v>0</v>
      </c>
      <c r="J69" s="30">
        <f aca="true" t="shared" si="2" ref="J69:J77">G69</f>
        <v>224</v>
      </c>
      <c r="K69" s="11">
        <v>0</v>
      </c>
      <c r="L69" s="31">
        <f aca="true" t="shared" si="3" ref="L69:L77">J69*E69</f>
        <v>56779.52</v>
      </c>
    </row>
    <row r="70" spans="1:12" s="1" customFormat="1" ht="27" customHeight="1">
      <c r="A70" s="291"/>
      <c r="B70" s="254" t="s">
        <v>147</v>
      </c>
      <c r="C70" s="256" t="s">
        <v>148</v>
      </c>
      <c r="D70" s="258" t="s">
        <v>149</v>
      </c>
      <c r="E70" s="254">
        <v>4482.44</v>
      </c>
      <c r="F70" s="246"/>
      <c r="G70" s="250">
        <f>'云龙至文儒公路改建工程K34+300-K35+420段取消实施'!E64</f>
        <v>2</v>
      </c>
      <c r="H70" s="249">
        <v>0</v>
      </c>
      <c r="I70" s="11">
        <v>0</v>
      </c>
      <c r="J70" s="30">
        <f t="shared" si="2"/>
        <v>2</v>
      </c>
      <c r="K70" s="11">
        <v>0</v>
      </c>
      <c r="L70" s="31">
        <f t="shared" si="3"/>
        <v>8964.88</v>
      </c>
    </row>
    <row r="71" spans="1:12" s="1" customFormat="1" ht="27" customHeight="1">
      <c r="A71" s="291"/>
      <c r="B71" s="254" t="s">
        <v>150</v>
      </c>
      <c r="C71" s="256" t="s">
        <v>151</v>
      </c>
      <c r="D71" s="258" t="s">
        <v>149</v>
      </c>
      <c r="E71" s="254">
        <v>4912.93</v>
      </c>
      <c r="F71" s="246"/>
      <c r="G71" s="250">
        <f>'云龙至文儒公路改建工程K34+300-K35+420段取消实施'!E65</f>
        <v>2</v>
      </c>
      <c r="H71" s="249">
        <v>0</v>
      </c>
      <c r="I71" s="11">
        <v>0</v>
      </c>
      <c r="J71" s="30">
        <f t="shared" si="2"/>
        <v>2</v>
      </c>
      <c r="K71" s="11">
        <v>0</v>
      </c>
      <c r="L71" s="31">
        <f t="shared" si="3"/>
        <v>9825.86</v>
      </c>
    </row>
    <row r="72" spans="1:12" s="1" customFormat="1" ht="27" customHeight="1">
      <c r="A72" s="291"/>
      <c r="B72" s="254" t="s">
        <v>152</v>
      </c>
      <c r="C72" s="256" t="s">
        <v>153</v>
      </c>
      <c r="D72" s="258" t="s">
        <v>154</v>
      </c>
      <c r="E72" s="254">
        <v>115.89</v>
      </c>
      <c r="F72" s="246"/>
      <c r="G72" s="250">
        <f>'云龙至文儒公路改建工程K34+300-K35+420段取消实施'!E66</f>
        <v>192</v>
      </c>
      <c r="H72" s="249">
        <v>0</v>
      </c>
      <c r="I72" s="11">
        <v>0</v>
      </c>
      <c r="J72" s="30">
        <f t="shared" si="2"/>
        <v>192</v>
      </c>
      <c r="K72" s="11">
        <v>0</v>
      </c>
      <c r="L72" s="31">
        <f t="shared" si="3"/>
        <v>22250.88</v>
      </c>
    </row>
    <row r="73" spans="1:12" s="1" customFormat="1" ht="27" customHeight="1">
      <c r="A73" s="291"/>
      <c r="B73" s="254" t="s">
        <v>155</v>
      </c>
      <c r="C73" s="256" t="s">
        <v>156</v>
      </c>
      <c r="D73" s="264" t="s">
        <v>154</v>
      </c>
      <c r="E73" s="254">
        <v>197.05</v>
      </c>
      <c r="F73" s="246"/>
      <c r="G73" s="250">
        <f>'云龙至文儒公路改建工程K34+300-K35+420段取消实施'!E67</f>
        <v>12</v>
      </c>
      <c r="H73" s="249">
        <v>0</v>
      </c>
      <c r="I73" s="11">
        <v>0</v>
      </c>
      <c r="J73" s="30">
        <f t="shared" si="2"/>
        <v>12</v>
      </c>
      <c r="K73" s="11">
        <v>0</v>
      </c>
      <c r="L73" s="31">
        <f t="shared" si="3"/>
        <v>2364.6000000000004</v>
      </c>
    </row>
    <row r="74" spans="1:12" s="1" customFormat="1" ht="27" customHeight="1">
      <c r="A74" s="291"/>
      <c r="B74" s="254" t="s">
        <v>157</v>
      </c>
      <c r="C74" s="256" t="s">
        <v>158</v>
      </c>
      <c r="D74" s="258" t="s">
        <v>142</v>
      </c>
      <c r="E74" s="254">
        <v>1098.88</v>
      </c>
      <c r="F74" s="246"/>
      <c r="G74" s="250">
        <f>'云龙至文儒公路改建工程K34+300-K35+420段取消实施'!E68</f>
        <v>3</v>
      </c>
      <c r="H74" s="249">
        <v>0</v>
      </c>
      <c r="I74" s="11">
        <v>0</v>
      </c>
      <c r="J74" s="30">
        <f t="shared" si="2"/>
        <v>3</v>
      </c>
      <c r="K74" s="11">
        <v>0</v>
      </c>
      <c r="L74" s="31">
        <f t="shared" si="3"/>
        <v>3296.6400000000003</v>
      </c>
    </row>
    <row r="75" spans="1:12" s="1" customFormat="1" ht="27" customHeight="1">
      <c r="A75" s="291"/>
      <c r="B75" s="254" t="s">
        <v>159</v>
      </c>
      <c r="C75" s="256" t="s">
        <v>160</v>
      </c>
      <c r="D75" s="258" t="s">
        <v>142</v>
      </c>
      <c r="E75" s="254">
        <v>3986.03</v>
      </c>
      <c r="F75" s="246"/>
      <c r="G75" s="250">
        <f>'云龙至文儒公路改建工程K34+300-K35+420段取消实施'!E69</f>
        <v>1</v>
      </c>
      <c r="H75" s="249">
        <v>0</v>
      </c>
      <c r="I75" s="11">
        <v>0</v>
      </c>
      <c r="J75" s="30">
        <f t="shared" si="2"/>
        <v>1</v>
      </c>
      <c r="K75" s="11">
        <v>0</v>
      </c>
      <c r="L75" s="31">
        <f t="shared" si="3"/>
        <v>3986.03</v>
      </c>
    </row>
    <row r="76" spans="1:12" s="1" customFormat="1" ht="27" customHeight="1">
      <c r="A76" s="291"/>
      <c r="B76" s="254" t="s">
        <v>161</v>
      </c>
      <c r="C76" s="256" t="s">
        <v>162</v>
      </c>
      <c r="D76" s="254" t="s">
        <v>27</v>
      </c>
      <c r="E76" s="254">
        <v>49.35</v>
      </c>
      <c r="F76" s="246"/>
      <c r="G76" s="250">
        <f>'云龙至文儒公路改建工程K34+300-K35+420段取消实施'!E70</f>
        <v>406.56</v>
      </c>
      <c r="H76" s="249">
        <v>0</v>
      </c>
      <c r="I76" s="11">
        <v>0</v>
      </c>
      <c r="J76" s="30">
        <f t="shared" si="2"/>
        <v>406.56</v>
      </c>
      <c r="K76" s="11">
        <v>0</v>
      </c>
      <c r="L76" s="31">
        <f t="shared" si="3"/>
        <v>20063.736</v>
      </c>
    </row>
    <row r="77" spans="1:12" s="1" customFormat="1" ht="27" customHeight="1">
      <c r="A77" s="291"/>
      <c r="B77" s="254" t="s">
        <v>163</v>
      </c>
      <c r="C77" s="256" t="s">
        <v>164</v>
      </c>
      <c r="D77" s="258" t="s">
        <v>142</v>
      </c>
      <c r="E77" s="254">
        <v>6.8</v>
      </c>
      <c r="F77" s="246"/>
      <c r="G77" s="250">
        <f>'云龙至文儒公路改建工程K34+300-K35+420段取消实施'!E71</f>
        <v>20</v>
      </c>
      <c r="H77" s="249">
        <v>0</v>
      </c>
      <c r="I77" s="11">
        <v>0</v>
      </c>
      <c r="J77" s="30">
        <f t="shared" si="2"/>
        <v>20</v>
      </c>
      <c r="K77" s="11">
        <v>0</v>
      </c>
      <c r="L77" s="31">
        <f t="shared" si="3"/>
        <v>136</v>
      </c>
    </row>
    <row r="78" spans="1:12" s="241" customFormat="1" ht="35.25" customHeight="1">
      <c r="A78" s="292" t="s">
        <v>165</v>
      </c>
      <c r="B78" s="293"/>
      <c r="C78" s="293"/>
      <c r="D78" s="293"/>
      <c r="E78" s="293"/>
      <c r="F78" s="293"/>
      <c r="G78" s="293"/>
      <c r="H78" s="293"/>
      <c r="I78" s="293"/>
      <c r="J78" s="294"/>
      <c r="K78" s="276"/>
      <c r="L78" s="277">
        <f>SUM(L12:L77)</f>
        <v>6373256.447421592</v>
      </c>
    </row>
    <row r="79" spans="1:12" s="241" customFormat="1" ht="35.25" customHeight="1">
      <c r="A79" s="292" t="s">
        <v>166</v>
      </c>
      <c r="B79" s="293"/>
      <c r="C79" s="293"/>
      <c r="D79" s="293"/>
      <c r="E79" s="293"/>
      <c r="F79" s="293"/>
      <c r="G79" s="293"/>
      <c r="H79" s="293"/>
      <c r="I79" s="293"/>
      <c r="J79" s="294"/>
      <c r="K79" s="295">
        <f>K78-L78</f>
        <v>-6373256.447421592</v>
      </c>
      <c r="L79" s="296"/>
    </row>
    <row r="80" spans="1:12" s="241" customFormat="1" ht="79.5" customHeight="1">
      <c r="A80" s="297" t="s">
        <v>167</v>
      </c>
      <c r="B80" s="298"/>
      <c r="C80" s="274" t="s">
        <v>168</v>
      </c>
      <c r="D80" s="275"/>
      <c r="E80" s="275"/>
      <c r="F80" s="275"/>
      <c r="G80" s="275"/>
      <c r="H80" s="274" t="s">
        <v>169</v>
      </c>
      <c r="I80" s="275"/>
      <c r="J80" s="275"/>
      <c r="K80" s="275"/>
      <c r="L80" s="278"/>
    </row>
    <row r="81" spans="1:12" s="241" customFormat="1" ht="90" customHeight="1">
      <c r="A81" s="299" t="s">
        <v>170</v>
      </c>
      <c r="B81" s="296"/>
      <c r="C81" s="274" t="s">
        <v>168</v>
      </c>
      <c r="D81" s="275"/>
      <c r="E81" s="275"/>
      <c r="F81" s="275"/>
      <c r="G81" s="275"/>
      <c r="H81" s="274" t="s">
        <v>169</v>
      </c>
      <c r="I81" s="275"/>
      <c r="J81" s="275"/>
      <c r="K81" s="275"/>
      <c r="L81" s="278"/>
    </row>
    <row r="82" spans="1:12" s="241" customFormat="1" ht="90" customHeight="1">
      <c r="A82" s="299" t="s">
        <v>171</v>
      </c>
      <c r="B82" s="296"/>
      <c r="C82" s="274" t="s">
        <v>168</v>
      </c>
      <c r="D82" s="275"/>
      <c r="E82" s="275"/>
      <c r="F82" s="275"/>
      <c r="G82" s="275"/>
      <c r="H82" s="274" t="s">
        <v>169</v>
      </c>
      <c r="I82" s="275"/>
      <c r="J82" s="275"/>
      <c r="K82" s="275"/>
      <c r="L82" s="278"/>
    </row>
  </sheetData>
  <sheetProtection/>
  <mergeCells count="24">
    <mergeCell ref="A80:B80"/>
    <mergeCell ref="A81:B81"/>
    <mergeCell ref="A82:B82"/>
    <mergeCell ref="A10:A37"/>
    <mergeCell ref="A38:A63"/>
    <mergeCell ref="A64:A77"/>
    <mergeCell ref="B10:B11"/>
    <mergeCell ref="E10:F10"/>
    <mergeCell ref="I10:J10"/>
    <mergeCell ref="K10:L10"/>
    <mergeCell ref="A78:J78"/>
    <mergeCell ref="A79:J79"/>
    <mergeCell ref="K79:L79"/>
    <mergeCell ref="C10:C11"/>
    <mergeCell ref="D10:D11"/>
    <mergeCell ref="G10:G11"/>
    <mergeCell ref="H10:H11"/>
    <mergeCell ref="A1:L1"/>
    <mergeCell ref="A2:L2"/>
    <mergeCell ref="A6:L6"/>
    <mergeCell ref="A7:B7"/>
    <mergeCell ref="C7:L7"/>
    <mergeCell ref="A8:B8"/>
    <mergeCell ref="C8:L8"/>
  </mergeCells>
  <printOptions/>
  <pageMargins left="0.42" right="0.28" top="0.56" bottom="0.46" header="0.24" footer="0.3"/>
  <pageSetup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tabColor indexed="49"/>
  </sheetPr>
  <dimension ref="A1:P24"/>
  <sheetViews>
    <sheetView zoomScalePageLayoutView="0" workbookViewId="0" topLeftCell="A1">
      <pane xSplit="4" ySplit="3" topLeftCell="E4" activePane="bottomRight" state="frozen"/>
      <selection pane="topLeft" activeCell="A1" sqref="A1"/>
      <selection pane="topRight" activeCell="A1" sqref="A1"/>
      <selection pane="bottomLeft" activeCell="A1" sqref="A1"/>
      <selection pane="bottomRight" activeCell="N14" sqref="N14"/>
    </sheetView>
  </sheetViews>
  <sheetFormatPr defaultColWidth="9.00390625" defaultRowHeight="14.25"/>
  <cols>
    <col min="1" max="2" width="11.625" style="123" bestFit="1" customWidth="1"/>
    <col min="3" max="4" width="5.125" style="123" customWidth="1"/>
    <col min="5" max="5" width="7.875" style="123" customWidth="1"/>
    <col min="6" max="6" width="8.75390625" style="123" customWidth="1"/>
    <col min="7" max="9" width="7.50390625" style="123" customWidth="1"/>
    <col min="10" max="10" width="8.50390625" style="123" customWidth="1"/>
    <col min="11" max="12" width="7.50390625" style="123" customWidth="1"/>
    <col min="13" max="13" width="10.625" style="123" customWidth="1"/>
    <col min="14" max="15" width="7.50390625" style="123" customWidth="1"/>
    <col min="16" max="16" width="8.625" style="123" customWidth="1"/>
    <col min="17" max="16384" width="9.00390625" style="123" customWidth="1"/>
  </cols>
  <sheetData>
    <row r="1" spans="1:16" ht="24.75">
      <c r="A1" s="403" t="s">
        <v>290</v>
      </c>
      <c r="B1" s="404"/>
      <c r="C1" s="404"/>
      <c r="D1" s="404"/>
      <c r="E1" s="404"/>
      <c r="F1" s="404"/>
      <c r="G1" s="404"/>
      <c r="H1" s="404"/>
      <c r="I1" s="404"/>
      <c r="J1" s="404"/>
      <c r="K1" s="404"/>
      <c r="L1" s="404"/>
      <c r="M1" s="404"/>
      <c r="N1" s="404"/>
      <c r="O1" s="404"/>
      <c r="P1" s="404"/>
    </row>
    <row r="2" spans="1:16" s="111" customFormat="1" ht="43.5" customHeight="1">
      <c r="A2" s="413" t="s">
        <v>206</v>
      </c>
      <c r="B2" s="414"/>
      <c r="C2" s="405" t="s">
        <v>207</v>
      </c>
      <c r="D2" s="406"/>
      <c r="E2" s="124" t="s">
        <v>291</v>
      </c>
      <c r="F2" s="124" t="s">
        <v>292</v>
      </c>
      <c r="G2" s="124" t="s">
        <v>293</v>
      </c>
      <c r="H2" s="124" t="s">
        <v>294</v>
      </c>
      <c r="I2" s="124" t="s">
        <v>295</v>
      </c>
      <c r="J2" s="124" t="s">
        <v>153</v>
      </c>
      <c r="K2" s="124" t="s">
        <v>156</v>
      </c>
      <c r="L2" s="124" t="s">
        <v>296</v>
      </c>
      <c r="M2" s="124" t="s">
        <v>297</v>
      </c>
      <c r="N2" s="124" t="s">
        <v>298</v>
      </c>
      <c r="O2" s="124" t="s">
        <v>299</v>
      </c>
      <c r="P2" s="411" t="s">
        <v>175</v>
      </c>
    </row>
    <row r="3" spans="1:16" s="111" customFormat="1" ht="18" customHeight="1">
      <c r="A3" s="415"/>
      <c r="B3" s="416"/>
      <c r="C3" s="125" t="s">
        <v>248</v>
      </c>
      <c r="D3" s="125" t="s">
        <v>249</v>
      </c>
      <c r="E3" s="126" t="s">
        <v>51</v>
      </c>
      <c r="F3" s="126" t="s">
        <v>51</v>
      </c>
      <c r="G3" s="125" t="s">
        <v>149</v>
      </c>
      <c r="H3" s="125" t="s">
        <v>149</v>
      </c>
      <c r="I3" s="125" t="s">
        <v>142</v>
      </c>
      <c r="J3" s="125" t="s">
        <v>154</v>
      </c>
      <c r="K3" s="125" t="s">
        <v>154</v>
      </c>
      <c r="L3" s="125" t="s">
        <v>142</v>
      </c>
      <c r="M3" s="125" t="s">
        <v>142</v>
      </c>
      <c r="N3" s="125" t="s">
        <v>142</v>
      </c>
      <c r="O3" s="125" t="s">
        <v>142</v>
      </c>
      <c r="P3" s="412"/>
    </row>
    <row r="4" spans="1:16" s="111" customFormat="1" ht="19.5" customHeight="1">
      <c r="A4" s="127">
        <v>34320</v>
      </c>
      <c r="B4" s="128">
        <v>34432</v>
      </c>
      <c r="C4" s="129" t="s">
        <v>248</v>
      </c>
      <c r="D4" s="130"/>
      <c r="E4" s="131">
        <f>B4-A4</f>
        <v>112</v>
      </c>
      <c r="F4" s="130">
        <v>112</v>
      </c>
      <c r="G4" s="130">
        <v>1</v>
      </c>
      <c r="H4" s="130">
        <v>1</v>
      </c>
      <c r="I4" s="130">
        <v>10</v>
      </c>
      <c r="J4" s="130"/>
      <c r="K4" s="130"/>
      <c r="L4" s="130"/>
      <c r="M4" s="130"/>
      <c r="N4" s="130"/>
      <c r="O4" s="130"/>
      <c r="P4" s="143"/>
    </row>
    <row r="5" spans="1:16" s="111" customFormat="1" ht="19.5" customHeight="1">
      <c r="A5" s="127">
        <v>34320</v>
      </c>
      <c r="B5" s="128">
        <v>34432</v>
      </c>
      <c r="D5" s="129" t="s">
        <v>249</v>
      </c>
      <c r="E5" s="131">
        <f>B5-A5</f>
        <v>112</v>
      </c>
      <c r="F5" s="130">
        <v>112</v>
      </c>
      <c r="G5" s="130">
        <v>1</v>
      </c>
      <c r="H5" s="130">
        <v>1</v>
      </c>
      <c r="I5" s="130">
        <v>10</v>
      </c>
      <c r="J5" s="130"/>
      <c r="K5" s="130"/>
      <c r="L5" s="130"/>
      <c r="M5" s="130"/>
      <c r="N5" s="130"/>
      <c r="O5" s="130"/>
      <c r="P5" s="143"/>
    </row>
    <row r="6" spans="1:16" s="111" customFormat="1" ht="19.5" customHeight="1">
      <c r="A6" s="127">
        <v>34460</v>
      </c>
      <c r="B6" s="128">
        <v>34500</v>
      </c>
      <c r="D6" s="129" t="s">
        <v>249</v>
      </c>
      <c r="E6" s="132">
        <f>B6-A6</f>
        <v>40</v>
      </c>
      <c r="F6" s="130"/>
      <c r="G6" s="130"/>
      <c r="H6" s="130"/>
      <c r="I6" s="130"/>
      <c r="J6" s="130">
        <v>21</v>
      </c>
      <c r="K6" s="130"/>
      <c r="L6" s="130"/>
      <c r="M6" s="130"/>
      <c r="N6" s="130"/>
      <c r="O6" s="130"/>
      <c r="P6" s="143"/>
    </row>
    <row r="7" spans="1:16" s="111" customFormat="1" ht="19.5" customHeight="1">
      <c r="A7" s="127">
        <v>34520</v>
      </c>
      <c r="B7" s="128">
        <v>34860</v>
      </c>
      <c r="C7" s="129" t="s">
        <v>248</v>
      </c>
      <c r="D7" s="130"/>
      <c r="E7" s="132">
        <f>B7-A7</f>
        <v>340</v>
      </c>
      <c r="F7" s="130"/>
      <c r="G7" s="130"/>
      <c r="H7" s="130"/>
      <c r="I7" s="130"/>
      <c r="J7" s="130">
        <v>171</v>
      </c>
      <c r="K7" s="130"/>
      <c r="L7" s="130"/>
      <c r="M7" s="130"/>
      <c r="N7" s="130"/>
      <c r="O7" s="130"/>
      <c r="P7" s="143"/>
    </row>
    <row r="8" spans="1:16" s="111" customFormat="1" ht="19.5" customHeight="1">
      <c r="A8" s="407">
        <v>34540</v>
      </c>
      <c r="B8" s="408"/>
      <c r="C8" s="129" t="s">
        <v>248</v>
      </c>
      <c r="D8" s="130"/>
      <c r="E8" s="130"/>
      <c r="F8" s="130"/>
      <c r="G8" s="130"/>
      <c r="H8" s="130"/>
      <c r="I8" s="130"/>
      <c r="J8" s="130"/>
      <c r="K8" s="130"/>
      <c r="L8" s="130">
        <v>1</v>
      </c>
      <c r="M8" s="130"/>
      <c r="N8" s="130"/>
      <c r="O8" s="130"/>
      <c r="P8" s="143"/>
    </row>
    <row r="9" spans="1:16" s="111" customFormat="1" ht="19.5" customHeight="1">
      <c r="A9" s="407">
        <v>34800</v>
      </c>
      <c r="B9" s="408"/>
      <c r="D9" s="129" t="s">
        <v>249</v>
      </c>
      <c r="E9" s="130"/>
      <c r="F9" s="130"/>
      <c r="G9" s="130"/>
      <c r="H9" s="130"/>
      <c r="I9" s="130"/>
      <c r="J9" s="130"/>
      <c r="K9" s="130"/>
      <c r="L9" s="130"/>
      <c r="M9" s="130"/>
      <c r="N9" s="130"/>
      <c r="O9" s="130">
        <v>1</v>
      </c>
      <c r="P9" s="143"/>
    </row>
    <row r="10" spans="1:16" s="111" customFormat="1" ht="19.5" customHeight="1">
      <c r="A10" s="407">
        <v>35180</v>
      </c>
      <c r="B10" s="408"/>
      <c r="D10" s="129" t="s">
        <v>249</v>
      </c>
      <c r="E10" s="130"/>
      <c r="F10" s="130"/>
      <c r="G10" s="130"/>
      <c r="H10" s="130"/>
      <c r="I10" s="130"/>
      <c r="J10" s="130"/>
      <c r="K10" s="130"/>
      <c r="L10" s="130"/>
      <c r="M10" s="130"/>
      <c r="N10" s="130"/>
      <c r="O10" s="130">
        <v>1</v>
      </c>
      <c r="P10" s="143"/>
    </row>
    <row r="11" spans="1:16" s="111" customFormat="1" ht="19.5" customHeight="1">
      <c r="A11" s="407">
        <v>35240</v>
      </c>
      <c r="B11" s="408"/>
      <c r="C11" s="129" t="s">
        <v>248</v>
      </c>
      <c r="D11" s="130"/>
      <c r="E11" s="130"/>
      <c r="F11" s="130"/>
      <c r="G11" s="130"/>
      <c r="H11" s="130"/>
      <c r="I11" s="130"/>
      <c r="J11" s="130"/>
      <c r="K11" s="130"/>
      <c r="L11" s="130"/>
      <c r="M11" s="130"/>
      <c r="N11" s="130"/>
      <c r="O11" s="130">
        <v>1</v>
      </c>
      <c r="P11" s="143"/>
    </row>
    <row r="12" spans="1:16" s="111" customFormat="1" ht="19.5" customHeight="1">
      <c r="A12" s="133">
        <v>34340</v>
      </c>
      <c r="B12" s="134" t="s">
        <v>247</v>
      </c>
      <c r="D12" s="129" t="s">
        <v>249</v>
      </c>
      <c r="E12" s="130"/>
      <c r="F12" s="130"/>
      <c r="G12" s="130"/>
      <c r="H12" s="130"/>
      <c r="I12" s="130"/>
      <c r="J12" s="130"/>
      <c r="K12" s="136">
        <v>2</v>
      </c>
      <c r="L12" s="130"/>
      <c r="M12" s="130"/>
      <c r="N12" s="130"/>
      <c r="O12" s="130"/>
      <c r="P12" s="143"/>
    </row>
    <row r="13" spans="1:16" s="111" customFormat="1" ht="19.5" customHeight="1">
      <c r="A13" s="133">
        <v>34580</v>
      </c>
      <c r="B13" s="134" t="s">
        <v>247</v>
      </c>
      <c r="C13" s="135" t="s">
        <v>248</v>
      </c>
      <c r="D13" s="136"/>
      <c r="E13" s="130"/>
      <c r="F13" s="130"/>
      <c r="G13" s="130"/>
      <c r="H13" s="130"/>
      <c r="I13" s="130"/>
      <c r="J13" s="130"/>
      <c r="K13" s="136">
        <v>2</v>
      </c>
      <c r="L13" s="130"/>
      <c r="M13" s="130"/>
      <c r="N13" s="130"/>
      <c r="O13" s="130"/>
      <c r="P13" s="143"/>
    </row>
    <row r="14" spans="1:16" s="111" customFormat="1" ht="19.5" customHeight="1">
      <c r="A14" s="133">
        <v>34850</v>
      </c>
      <c r="B14" s="134" t="s">
        <v>247</v>
      </c>
      <c r="C14" s="135" t="s">
        <v>248</v>
      </c>
      <c r="D14" s="136"/>
      <c r="E14" s="130"/>
      <c r="F14" s="130"/>
      <c r="G14" s="130"/>
      <c r="H14" s="130"/>
      <c r="I14" s="130"/>
      <c r="J14" s="130"/>
      <c r="K14" s="136">
        <v>2</v>
      </c>
      <c r="L14" s="130"/>
      <c r="M14" s="130"/>
      <c r="N14" s="130"/>
      <c r="O14" s="130"/>
      <c r="P14" s="143"/>
    </row>
    <row r="15" spans="1:16" s="111" customFormat="1" ht="19.5" customHeight="1">
      <c r="A15" s="133">
        <v>35040</v>
      </c>
      <c r="B15" s="134" t="s">
        <v>247</v>
      </c>
      <c r="D15" s="129" t="s">
        <v>249</v>
      </c>
      <c r="E15" s="130"/>
      <c r="F15" s="130"/>
      <c r="G15" s="130"/>
      <c r="H15" s="130"/>
      <c r="I15" s="130"/>
      <c r="J15" s="130"/>
      <c r="K15" s="136">
        <v>2</v>
      </c>
      <c r="L15" s="130"/>
      <c r="M15" s="130"/>
      <c r="N15" s="130"/>
      <c r="O15" s="130"/>
      <c r="P15" s="143"/>
    </row>
    <row r="16" spans="1:16" s="111" customFormat="1" ht="19.5" customHeight="1">
      <c r="A16" s="133">
        <v>35210</v>
      </c>
      <c r="B16" s="134" t="s">
        <v>247</v>
      </c>
      <c r="C16" s="135" t="s">
        <v>248</v>
      </c>
      <c r="D16" s="136"/>
      <c r="E16" s="130"/>
      <c r="F16" s="130"/>
      <c r="G16" s="130"/>
      <c r="H16" s="130"/>
      <c r="I16" s="130"/>
      <c r="J16" s="130"/>
      <c r="K16" s="136">
        <v>2</v>
      </c>
      <c r="L16" s="130"/>
      <c r="M16" s="130"/>
      <c r="N16" s="130"/>
      <c r="O16" s="130"/>
      <c r="P16" s="143"/>
    </row>
    <row r="17" spans="1:16" s="111" customFormat="1" ht="19.5" customHeight="1">
      <c r="A17" s="133">
        <v>35405</v>
      </c>
      <c r="B17" s="134" t="s">
        <v>247</v>
      </c>
      <c r="D17" s="129" t="s">
        <v>249</v>
      </c>
      <c r="E17" s="130"/>
      <c r="F17" s="130"/>
      <c r="G17" s="130"/>
      <c r="H17" s="130"/>
      <c r="I17" s="130"/>
      <c r="J17" s="130"/>
      <c r="K17" s="136">
        <v>2</v>
      </c>
      <c r="L17" s="130"/>
      <c r="M17" s="130"/>
      <c r="N17" s="130"/>
      <c r="O17" s="130"/>
      <c r="P17" s="143"/>
    </row>
    <row r="18" spans="1:16" s="111" customFormat="1" ht="19.5" customHeight="1">
      <c r="A18" s="137"/>
      <c r="B18" s="138"/>
      <c r="D18" s="139"/>
      <c r="E18" s="140"/>
      <c r="F18" s="140"/>
      <c r="G18" s="140"/>
      <c r="H18" s="140"/>
      <c r="I18" s="140"/>
      <c r="J18" s="140"/>
      <c r="K18" s="144"/>
      <c r="L18" s="140"/>
      <c r="M18" s="140"/>
      <c r="N18" s="140"/>
      <c r="O18" s="140"/>
      <c r="P18" s="145"/>
    </row>
    <row r="19" spans="1:16" s="111" customFormat="1" ht="19.5" customHeight="1">
      <c r="A19" s="137"/>
      <c r="B19" s="138"/>
      <c r="D19" s="139"/>
      <c r="E19" s="140"/>
      <c r="F19" s="140"/>
      <c r="G19" s="140"/>
      <c r="H19" s="140"/>
      <c r="I19" s="140"/>
      <c r="J19" s="140"/>
      <c r="K19" s="144"/>
      <c r="L19" s="140"/>
      <c r="M19" s="140"/>
      <c r="N19" s="140"/>
      <c r="O19" s="140"/>
      <c r="P19" s="145"/>
    </row>
    <row r="20" spans="1:16" s="111" customFormat="1" ht="19.5" customHeight="1">
      <c r="A20" s="137"/>
      <c r="B20" s="138"/>
      <c r="D20" s="139"/>
      <c r="E20" s="140"/>
      <c r="F20" s="140"/>
      <c r="G20" s="140"/>
      <c r="H20" s="140"/>
      <c r="I20" s="140"/>
      <c r="J20" s="140"/>
      <c r="K20" s="144"/>
      <c r="L20" s="140"/>
      <c r="M20" s="140"/>
      <c r="N20" s="140"/>
      <c r="O20" s="140"/>
      <c r="P20" s="145"/>
    </row>
    <row r="21" spans="1:16" s="111" customFormat="1" ht="19.5" customHeight="1">
      <c r="A21" s="137"/>
      <c r="B21" s="138"/>
      <c r="D21" s="139"/>
      <c r="E21" s="140"/>
      <c r="F21" s="140"/>
      <c r="G21" s="140"/>
      <c r="H21" s="140"/>
      <c r="I21" s="140"/>
      <c r="J21" s="140"/>
      <c r="K21" s="144"/>
      <c r="L21" s="140"/>
      <c r="M21" s="140"/>
      <c r="N21" s="140"/>
      <c r="O21" s="140"/>
      <c r="P21" s="145"/>
    </row>
    <row r="22" spans="1:16" s="111" customFormat="1" ht="15" customHeight="1">
      <c r="A22" s="409" t="s">
        <v>230</v>
      </c>
      <c r="B22" s="410"/>
      <c r="C22" s="141"/>
      <c r="D22" s="141"/>
      <c r="E22" s="141"/>
      <c r="F22" s="141">
        <f>SUM(F4:F11)</f>
        <v>224</v>
      </c>
      <c r="G22" s="141">
        <f aca="true" t="shared" si="0" ref="G22:L22">SUM(G4:G11)</f>
        <v>2</v>
      </c>
      <c r="H22" s="141">
        <f t="shared" si="0"/>
        <v>2</v>
      </c>
      <c r="I22" s="141">
        <f t="shared" si="0"/>
        <v>20</v>
      </c>
      <c r="J22" s="141">
        <f t="shared" si="0"/>
        <v>192</v>
      </c>
      <c r="K22" s="141">
        <f>SUM(K4:K17)</f>
        <v>12</v>
      </c>
      <c r="L22" s="141">
        <f t="shared" si="0"/>
        <v>1</v>
      </c>
      <c r="M22" s="141">
        <f>SUM(M5:M17)</f>
        <v>0</v>
      </c>
      <c r="N22" s="141">
        <f>SUM(N5:N17)</f>
        <v>0</v>
      </c>
      <c r="O22" s="141">
        <f>SUM(O5:O17)</f>
        <v>3</v>
      </c>
      <c r="P22" s="146"/>
    </row>
    <row r="23" spans="1:2" ht="15">
      <c r="A23" s="142"/>
      <c r="B23" s="142"/>
    </row>
    <row r="24" spans="1:2" ht="15">
      <c r="A24" s="142"/>
      <c r="B24" s="142"/>
    </row>
  </sheetData>
  <sheetProtection/>
  <mergeCells count="9">
    <mergeCell ref="A22:B22"/>
    <mergeCell ref="P2:P3"/>
    <mergeCell ref="A2:B3"/>
    <mergeCell ref="A1:P1"/>
    <mergeCell ref="C2:D2"/>
    <mergeCell ref="A8:B8"/>
    <mergeCell ref="A9:B9"/>
    <mergeCell ref="A10:B10"/>
    <mergeCell ref="A11:B11"/>
  </mergeCells>
  <printOptions/>
  <pageMargins left="0.28" right="0.28" top="0.75" bottom="0.83" header="0.51" footer="0.35"/>
  <pageSetup horizontalDpi="200" verticalDpi="200" orientation="landscape" paperSize="9"/>
  <headerFooter alignWithMargins="0">
    <oddFooter>&amp;L施工单位：&amp;C监理单位：                                  代建单位：</oddFooter>
  </headerFooter>
</worksheet>
</file>

<file path=xl/worksheets/sheet11.xml><?xml version="1.0" encoding="utf-8"?>
<worksheet xmlns="http://schemas.openxmlformats.org/spreadsheetml/2006/main" xmlns:r="http://schemas.openxmlformats.org/officeDocument/2006/relationships">
  <sheetPr>
    <tabColor indexed="49"/>
  </sheetPr>
  <dimension ref="A1:G63"/>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C63" sqref="C63"/>
    </sheetView>
  </sheetViews>
  <sheetFormatPr defaultColWidth="9.00390625" defaultRowHeight="14.25"/>
  <cols>
    <col min="1" max="1" width="14.875" style="114" customWidth="1"/>
    <col min="2" max="2" width="9.25390625" style="115" customWidth="1"/>
    <col min="3" max="3" width="12.875" style="116" customWidth="1"/>
    <col min="4" max="4" width="14.50390625" style="116" customWidth="1"/>
    <col min="5" max="5" width="12.25390625" style="116" customWidth="1"/>
    <col min="6" max="6" width="11.00390625" style="116" customWidth="1"/>
    <col min="7" max="7" width="14.50390625" style="116" customWidth="1"/>
    <col min="8" max="16384" width="9.00390625" style="116" customWidth="1"/>
  </cols>
  <sheetData>
    <row r="1" spans="1:7" s="110" customFormat="1" ht="25.5">
      <c r="A1" s="417" t="s">
        <v>300</v>
      </c>
      <c r="B1" s="418"/>
      <c r="C1" s="418"/>
      <c r="D1" s="418"/>
      <c r="E1" s="418"/>
      <c r="F1" s="418"/>
      <c r="G1" s="418"/>
    </row>
    <row r="2" spans="1:7" ht="8.25" customHeight="1">
      <c r="A2" s="117"/>
      <c r="B2" s="117"/>
      <c r="C2" s="117"/>
      <c r="D2" s="117"/>
      <c r="E2" s="117"/>
      <c r="F2" s="117"/>
      <c r="G2" s="117"/>
    </row>
    <row r="3" spans="1:7" s="111" customFormat="1" ht="14.25" customHeight="1">
      <c r="A3" s="419" t="s">
        <v>280</v>
      </c>
      <c r="B3" s="423" t="s">
        <v>301</v>
      </c>
      <c r="C3" s="419" t="s">
        <v>302</v>
      </c>
      <c r="D3" s="419" t="s">
        <v>303</v>
      </c>
      <c r="E3" s="420"/>
      <c r="F3" s="419" t="s">
        <v>304</v>
      </c>
      <c r="G3" s="419" t="s">
        <v>175</v>
      </c>
    </row>
    <row r="4" spans="1:7" s="111" customFormat="1" ht="21" customHeight="1">
      <c r="A4" s="420"/>
      <c r="B4" s="424"/>
      <c r="C4" s="420"/>
      <c r="D4" s="118" t="s">
        <v>305</v>
      </c>
      <c r="E4" s="118" t="s">
        <v>306</v>
      </c>
      <c r="F4" s="420"/>
      <c r="G4" s="420"/>
    </row>
    <row r="5" spans="1:7" s="112" customFormat="1" ht="19.5" customHeight="1">
      <c r="A5" s="119">
        <v>34300</v>
      </c>
      <c r="B5" s="120">
        <v>0</v>
      </c>
      <c r="C5" s="21">
        <v>11</v>
      </c>
      <c r="D5" s="21">
        <v>10</v>
      </c>
      <c r="E5" s="21">
        <v>235</v>
      </c>
      <c r="F5" s="21"/>
      <c r="G5" s="21"/>
    </row>
    <row r="6" spans="1:7" s="112" customFormat="1" ht="19.5" customHeight="1">
      <c r="A6" s="119">
        <v>34320</v>
      </c>
      <c r="B6" s="120">
        <f aca="true" t="shared" si="0" ref="B6:B52">A6-A5</f>
        <v>20</v>
      </c>
      <c r="C6" s="21">
        <v>11</v>
      </c>
      <c r="D6" s="21">
        <v>10</v>
      </c>
      <c r="E6" s="21">
        <v>302</v>
      </c>
      <c r="F6" s="21"/>
      <c r="G6" s="21"/>
    </row>
    <row r="7" spans="1:7" s="112" customFormat="1" ht="19.5" customHeight="1">
      <c r="A7" s="119">
        <v>34340</v>
      </c>
      <c r="B7" s="120">
        <f t="shared" si="0"/>
        <v>20</v>
      </c>
      <c r="C7" s="21">
        <v>43</v>
      </c>
      <c r="D7" s="21">
        <v>40</v>
      </c>
      <c r="E7" s="21">
        <v>387</v>
      </c>
      <c r="F7" s="21"/>
      <c r="G7" s="21"/>
    </row>
    <row r="8" spans="1:7" s="112" customFormat="1" ht="19.5" customHeight="1">
      <c r="A8" s="119">
        <v>34360</v>
      </c>
      <c r="B8" s="120">
        <f t="shared" si="0"/>
        <v>20</v>
      </c>
      <c r="C8" s="21">
        <v>88</v>
      </c>
      <c r="D8" s="21">
        <v>80</v>
      </c>
      <c r="E8" s="21">
        <v>463</v>
      </c>
      <c r="F8" s="21"/>
      <c r="G8" s="21"/>
    </row>
    <row r="9" spans="1:7" s="112" customFormat="1" ht="19.5" customHeight="1">
      <c r="A9" s="119">
        <v>34380</v>
      </c>
      <c r="B9" s="120">
        <f t="shared" si="0"/>
        <v>20</v>
      </c>
      <c r="C9" s="21">
        <v>110</v>
      </c>
      <c r="D9" s="21">
        <v>101</v>
      </c>
      <c r="E9" s="21">
        <v>442</v>
      </c>
      <c r="F9" s="21"/>
      <c r="G9" s="21"/>
    </row>
    <row r="10" spans="1:7" s="112" customFormat="1" ht="19.5" customHeight="1">
      <c r="A10" s="119">
        <v>34400</v>
      </c>
      <c r="B10" s="120">
        <f t="shared" si="0"/>
        <v>20</v>
      </c>
      <c r="C10" s="21">
        <v>144</v>
      </c>
      <c r="D10" s="21">
        <v>132</v>
      </c>
      <c r="E10" s="21">
        <v>354</v>
      </c>
      <c r="F10" s="21"/>
      <c r="G10" s="21"/>
    </row>
    <row r="11" spans="1:7" s="112" customFormat="1" ht="19.5" customHeight="1">
      <c r="A11" s="119">
        <v>34420</v>
      </c>
      <c r="B11" s="120">
        <f t="shared" si="0"/>
        <v>20</v>
      </c>
      <c r="C11" s="21">
        <v>190</v>
      </c>
      <c r="D11" s="21">
        <v>174</v>
      </c>
      <c r="E11" s="21">
        <v>354</v>
      </c>
      <c r="F11" s="21"/>
      <c r="G11" s="21"/>
    </row>
    <row r="12" spans="1:7" s="112" customFormat="1" ht="19.5" customHeight="1">
      <c r="A12" s="119">
        <v>34430</v>
      </c>
      <c r="B12" s="120">
        <f t="shared" si="0"/>
        <v>10</v>
      </c>
      <c r="C12" s="21">
        <v>157</v>
      </c>
      <c r="D12" s="21">
        <v>144</v>
      </c>
      <c r="E12" s="21">
        <v>424</v>
      </c>
      <c r="F12" s="21"/>
      <c r="G12" s="21"/>
    </row>
    <row r="13" spans="1:7" s="112" customFormat="1" ht="19.5" customHeight="1">
      <c r="A13" s="119"/>
      <c r="B13" s="120"/>
      <c r="C13" s="21"/>
      <c r="D13" s="21"/>
      <c r="E13" s="21"/>
      <c r="F13" s="21"/>
      <c r="G13" s="121" t="s">
        <v>307</v>
      </c>
    </row>
    <row r="14" spans="1:7" s="112" customFormat="1" ht="19.5" customHeight="1">
      <c r="A14" s="119">
        <v>34460</v>
      </c>
      <c r="B14" s="120"/>
      <c r="C14" s="21"/>
      <c r="D14" s="21"/>
      <c r="E14" s="21"/>
      <c r="F14" s="21"/>
      <c r="G14" s="21"/>
    </row>
    <row r="15" spans="1:7" s="112" customFormat="1" ht="19.5" customHeight="1">
      <c r="A15" s="119">
        <v>34480</v>
      </c>
      <c r="B15" s="120">
        <f t="shared" si="0"/>
        <v>20</v>
      </c>
      <c r="C15" s="21">
        <v>68</v>
      </c>
      <c r="D15" s="21">
        <v>62</v>
      </c>
      <c r="E15" s="21">
        <v>379</v>
      </c>
      <c r="F15" s="21"/>
      <c r="G15" s="21"/>
    </row>
    <row r="16" spans="1:7" s="112" customFormat="1" ht="19.5" customHeight="1">
      <c r="A16" s="119">
        <v>34500</v>
      </c>
      <c r="B16" s="120">
        <f t="shared" si="0"/>
        <v>20</v>
      </c>
      <c r="C16" s="21">
        <v>41</v>
      </c>
      <c r="D16" s="21">
        <v>37</v>
      </c>
      <c r="E16" s="21">
        <v>323</v>
      </c>
      <c r="F16" s="21"/>
      <c r="G16" s="21"/>
    </row>
    <row r="17" spans="1:7" s="112" customFormat="1" ht="19.5" customHeight="1">
      <c r="A17" s="119">
        <v>34520</v>
      </c>
      <c r="B17" s="120">
        <f t="shared" si="0"/>
        <v>20</v>
      </c>
      <c r="C17" s="21">
        <v>11</v>
      </c>
      <c r="D17" s="21">
        <v>10</v>
      </c>
      <c r="E17" s="21">
        <v>301</v>
      </c>
      <c r="F17" s="21"/>
      <c r="G17" s="21"/>
    </row>
    <row r="18" spans="1:7" s="112" customFormat="1" ht="19.5" customHeight="1">
      <c r="A18" s="119">
        <v>34540</v>
      </c>
      <c r="B18" s="120">
        <f t="shared" si="0"/>
        <v>20</v>
      </c>
      <c r="C18" s="21">
        <v>36</v>
      </c>
      <c r="D18" s="21">
        <v>33</v>
      </c>
      <c r="E18" s="21">
        <v>361</v>
      </c>
      <c r="F18" s="21"/>
      <c r="G18" s="21"/>
    </row>
    <row r="19" spans="1:7" s="112" customFormat="1" ht="19.5" customHeight="1">
      <c r="A19" s="119">
        <v>34560</v>
      </c>
      <c r="B19" s="120">
        <f t="shared" si="0"/>
        <v>20</v>
      </c>
      <c r="C19" s="21">
        <v>36</v>
      </c>
      <c r="D19" s="21">
        <v>33</v>
      </c>
      <c r="E19" s="21">
        <v>359</v>
      </c>
      <c r="F19" s="21"/>
      <c r="G19" s="21"/>
    </row>
    <row r="20" spans="1:7" s="112" customFormat="1" ht="19.5" customHeight="1">
      <c r="A20" s="119">
        <v>34580</v>
      </c>
      <c r="B20" s="120">
        <f t="shared" si="0"/>
        <v>20</v>
      </c>
      <c r="C20" s="21">
        <v>11</v>
      </c>
      <c r="D20" s="21">
        <v>10</v>
      </c>
      <c r="E20" s="21">
        <v>285</v>
      </c>
      <c r="F20" s="21"/>
      <c r="G20" s="21"/>
    </row>
    <row r="21" spans="1:7" s="112" customFormat="1" ht="19.5" customHeight="1">
      <c r="A21" s="119">
        <v>34600</v>
      </c>
      <c r="B21" s="120">
        <f t="shared" si="0"/>
        <v>20</v>
      </c>
      <c r="C21" s="21">
        <v>12</v>
      </c>
      <c r="D21" s="21">
        <v>11</v>
      </c>
      <c r="E21" s="21">
        <v>288</v>
      </c>
      <c r="F21" s="21"/>
      <c r="G21" s="21"/>
    </row>
    <row r="22" spans="1:7" s="112" customFormat="1" ht="19.5" customHeight="1">
      <c r="A22" s="119">
        <v>34620</v>
      </c>
      <c r="B22" s="120">
        <f t="shared" si="0"/>
        <v>20</v>
      </c>
      <c r="C22" s="21">
        <v>14</v>
      </c>
      <c r="D22" s="21">
        <v>13</v>
      </c>
      <c r="E22" s="21">
        <v>283</v>
      </c>
      <c r="F22" s="21"/>
      <c r="G22" s="21"/>
    </row>
    <row r="23" spans="1:7" s="112" customFormat="1" ht="19.5" customHeight="1">
      <c r="A23" s="119">
        <v>34640</v>
      </c>
      <c r="B23" s="120">
        <f t="shared" si="0"/>
        <v>20</v>
      </c>
      <c r="C23" s="21">
        <v>13</v>
      </c>
      <c r="D23" s="21">
        <v>12</v>
      </c>
      <c r="E23" s="21">
        <v>253</v>
      </c>
      <c r="F23" s="21"/>
      <c r="G23" s="21"/>
    </row>
    <row r="24" spans="1:7" s="112" customFormat="1" ht="19.5" customHeight="1">
      <c r="A24" s="119">
        <v>34660</v>
      </c>
      <c r="B24" s="120">
        <f t="shared" si="0"/>
        <v>20</v>
      </c>
      <c r="C24" s="21">
        <v>26</v>
      </c>
      <c r="D24" s="21">
        <v>24</v>
      </c>
      <c r="E24" s="21">
        <v>220</v>
      </c>
      <c r="F24" s="21"/>
      <c r="G24" s="21"/>
    </row>
    <row r="25" spans="1:7" s="112" customFormat="1" ht="19.5" customHeight="1">
      <c r="A25" s="119">
        <v>34680</v>
      </c>
      <c r="B25" s="120">
        <f t="shared" si="0"/>
        <v>20</v>
      </c>
      <c r="C25" s="21">
        <v>26</v>
      </c>
      <c r="D25" s="21">
        <v>24</v>
      </c>
      <c r="E25" s="21">
        <v>198</v>
      </c>
      <c r="F25" s="21"/>
      <c r="G25" s="21"/>
    </row>
    <row r="26" spans="1:7" s="112" customFormat="1" ht="19.5" customHeight="1">
      <c r="A26" s="119">
        <v>34700</v>
      </c>
      <c r="B26" s="120">
        <f t="shared" si="0"/>
        <v>20</v>
      </c>
      <c r="C26" s="21">
        <v>13</v>
      </c>
      <c r="D26" s="21">
        <v>12</v>
      </c>
      <c r="E26" s="21">
        <v>197</v>
      </c>
      <c r="F26" s="21"/>
      <c r="G26" s="21"/>
    </row>
    <row r="27" spans="1:7" s="112" customFormat="1" ht="19.5" customHeight="1">
      <c r="A27" s="119">
        <v>34720</v>
      </c>
      <c r="B27" s="120">
        <f t="shared" si="0"/>
        <v>20</v>
      </c>
      <c r="C27" s="21">
        <v>107</v>
      </c>
      <c r="D27" s="21">
        <v>98</v>
      </c>
      <c r="E27" s="21">
        <v>145</v>
      </c>
      <c r="F27" s="21"/>
      <c r="G27" s="21"/>
    </row>
    <row r="28" spans="1:7" s="112" customFormat="1" ht="19.5" customHeight="1">
      <c r="A28" s="119">
        <v>34740</v>
      </c>
      <c r="B28" s="120">
        <f t="shared" si="0"/>
        <v>20</v>
      </c>
      <c r="C28" s="21">
        <v>197</v>
      </c>
      <c r="D28" s="21">
        <v>181</v>
      </c>
      <c r="E28" s="21">
        <v>100</v>
      </c>
      <c r="F28" s="21"/>
      <c r="G28" s="21"/>
    </row>
    <row r="29" spans="1:7" s="112" customFormat="1" ht="19.5" customHeight="1">
      <c r="A29" s="119">
        <v>34760</v>
      </c>
      <c r="B29" s="120">
        <f t="shared" si="0"/>
        <v>20</v>
      </c>
      <c r="C29" s="21">
        <v>198</v>
      </c>
      <c r="D29" s="21">
        <v>181</v>
      </c>
      <c r="E29" s="21">
        <v>82</v>
      </c>
      <c r="F29" s="21"/>
      <c r="G29" s="21"/>
    </row>
    <row r="30" spans="1:7" s="112" customFormat="1" ht="19.5" customHeight="1">
      <c r="A30" s="119">
        <v>34780</v>
      </c>
      <c r="B30" s="120">
        <f t="shared" si="0"/>
        <v>20</v>
      </c>
      <c r="C30" s="21">
        <v>196</v>
      </c>
      <c r="D30" s="21">
        <v>179</v>
      </c>
      <c r="E30" s="21">
        <v>54</v>
      </c>
      <c r="F30" s="21"/>
      <c r="G30" s="21"/>
    </row>
    <row r="31" spans="1:7" s="112" customFormat="1" ht="19.5" customHeight="1">
      <c r="A31" s="119">
        <v>34800</v>
      </c>
      <c r="B31" s="120">
        <f t="shared" si="0"/>
        <v>20</v>
      </c>
      <c r="C31" s="21">
        <v>101</v>
      </c>
      <c r="D31" s="21">
        <v>93</v>
      </c>
      <c r="E31" s="21">
        <v>96</v>
      </c>
      <c r="F31" s="21"/>
      <c r="G31" s="21"/>
    </row>
    <row r="32" spans="1:7" s="112" customFormat="1" ht="19.5" customHeight="1">
      <c r="A32" s="119">
        <v>34820</v>
      </c>
      <c r="B32" s="120">
        <f t="shared" si="0"/>
        <v>20</v>
      </c>
      <c r="C32" s="21">
        <v>11</v>
      </c>
      <c r="D32" s="21">
        <v>10</v>
      </c>
      <c r="E32" s="21">
        <v>113</v>
      </c>
      <c r="F32" s="21"/>
      <c r="G32" s="21"/>
    </row>
    <row r="33" spans="1:7" s="112" customFormat="1" ht="19.5" customHeight="1">
      <c r="A33" s="119">
        <v>34840</v>
      </c>
      <c r="B33" s="120">
        <f t="shared" si="0"/>
        <v>20</v>
      </c>
      <c r="C33" s="21">
        <v>11</v>
      </c>
      <c r="D33" s="21">
        <v>10</v>
      </c>
      <c r="E33" s="21">
        <v>87</v>
      </c>
      <c r="F33" s="21"/>
      <c r="G33" s="21"/>
    </row>
    <row r="34" spans="1:7" s="112" customFormat="1" ht="19.5" customHeight="1">
      <c r="A34" s="119">
        <v>34860</v>
      </c>
      <c r="B34" s="120">
        <f t="shared" si="0"/>
        <v>20</v>
      </c>
      <c r="C34" s="21">
        <v>11</v>
      </c>
      <c r="D34" s="21">
        <v>10</v>
      </c>
      <c r="E34" s="21">
        <v>66</v>
      </c>
      <c r="F34" s="21"/>
      <c r="G34" s="21"/>
    </row>
    <row r="35" spans="1:7" s="112" customFormat="1" ht="19.5" customHeight="1">
      <c r="A35" s="119">
        <v>34880</v>
      </c>
      <c r="B35" s="120">
        <f t="shared" si="0"/>
        <v>20</v>
      </c>
      <c r="C35" s="21">
        <v>12</v>
      </c>
      <c r="D35" s="21">
        <v>11</v>
      </c>
      <c r="E35" s="21">
        <v>25</v>
      </c>
      <c r="F35" s="21"/>
      <c r="G35" s="21"/>
    </row>
    <row r="36" spans="1:7" s="112" customFormat="1" ht="19.5" customHeight="1">
      <c r="A36" s="119">
        <v>34900</v>
      </c>
      <c r="B36" s="120">
        <f t="shared" si="0"/>
        <v>20</v>
      </c>
      <c r="C36" s="21">
        <v>24</v>
      </c>
      <c r="D36" s="21">
        <v>10</v>
      </c>
      <c r="E36" s="21"/>
      <c r="F36" s="21">
        <v>13</v>
      </c>
      <c r="G36" s="21"/>
    </row>
    <row r="37" spans="1:7" s="112" customFormat="1" ht="19.5" customHeight="1">
      <c r="A37" s="119">
        <v>34920</v>
      </c>
      <c r="B37" s="120">
        <f t="shared" si="0"/>
        <v>20</v>
      </c>
      <c r="C37" s="21">
        <v>40</v>
      </c>
      <c r="D37" s="21">
        <v>13</v>
      </c>
      <c r="E37" s="21"/>
      <c r="F37" s="21">
        <v>26</v>
      </c>
      <c r="G37" s="21"/>
    </row>
    <row r="38" spans="1:7" s="112" customFormat="1" ht="19.5" customHeight="1">
      <c r="A38" s="119">
        <v>34940</v>
      </c>
      <c r="B38" s="120">
        <f t="shared" si="0"/>
        <v>20</v>
      </c>
      <c r="C38" s="21">
        <v>45</v>
      </c>
      <c r="D38" s="21">
        <v>12</v>
      </c>
      <c r="E38" s="21"/>
      <c r="F38" s="21">
        <v>32</v>
      </c>
      <c r="G38" s="21"/>
    </row>
    <row r="39" spans="1:7" s="112" customFormat="1" ht="19.5" customHeight="1">
      <c r="A39" s="119">
        <v>34960</v>
      </c>
      <c r="B39" s="120">
        <f t="shared" si="0"/>
        <v>20</v>
      </c>
      <c r="C39" s="21">
        <v>47</v>
      </c>
      <c r="D39" s="21">
        <v>12</v>
      </c>
      <c r="E39" s="21"/>
      <c r="F39" s="21">
        <v>35</v>
      </c>
      <c r="G39" s="21"/>
    </row>
    <row r="40" spans="1:7" s="112" customFormat="1" ht="19.5" customHeight="1">
      <c r="A40" s="119">
        <v>34980</v>
      </c>
      <c r="B40" s="120">
        <f t="shared" si="0"/>
        <v>20</v>
      </c>
      <c r="C40" s="21">
        <v>41</v>
      </c>
      <c r="D40" s="21">
        <v>13</v>
      </c>
      <c r="E40" s="21"/>
      <c r="F40" s="21">
        <v>27</v>
      </c>
      <c r="G40" s="21"/>
    </row>
    <row r="41" spans="1:7" s="112" customFormat="1" ht="19.5" customHeight="1">
      <c r="A41" s="119">
        <v>35000</v>
      </c>
      <c r="B41" s="120">
        <f t="shared" si="0"/>
        <v>20</v>
      </c>
      <c r="C41" s="21">
        <v>32</v>
      </c>
      <c r="D41" s="21">
        <v>14</v>
      </c>
      <c r="E41" s="21"/>
      <c r="F41" s="21">
        <v>16</v>
      </c>
      <c r="G41" s="21"/>
    </row>
    <row r="42" spans="1:7" s="112" customFormat="1" ht="19.5" customHeight="1">
      <c r="A42" s="119">
        <v>35020</v>
      </c>
      <c r="B42" s="120">
        <f t="shared" si="0"/>
        <v>20</v>
      </c>
      <c r="C42" s="21">
        <v>24</v>
      </c>
      <c r="D42" s="21">
        <v>16</v>
      </c>
      <c r="E42" s="21"/>
      <c r="F42" s="21">
        <v>6</v>
      </c>
      <c r="G42" s="21"/>
    </row>
    <row r="43" spans="1:7" s="112" customFormat="1" ht="19.5" customHeight="1">
      <c r="A43" s="119">
        <v>35040</v>
      </c>
      <c r="B43" s="120">
        <f t="shared" si="0"/>
        <v>20</v>
      </c>
      <c r="C43" s="21">
        <v>30</v>
      </c>
      <c r="D43" s="21">
        <v>10</v>
      </c>
      <c r="E43" s="21"/>
      <c r="F43" s="21">
        <v>19</v>
      </c>
      <c r="G43" s="21"/>
    </row>
    <row r="44" spans="1:7" s="112" customFormat="1" ht="19.5" customHeight="1">
      <c r="A44" s="119">
        <v>35060</v>
      </c>
      <c r="B44" s="120">
        <f t="shared" si="0"/>
        <v>20</v>
      </c>
      <c r="C44" s="21">
        <v>46</v>
      </c>
      <c r="D44" s="21">
        <v>2</v>
      </c>
      <c r="E44" s="21"/>
      <c r="F44" s="21">
        <v>44</v>
      </c>
      <c r="G44" s="21"/>
    </row>
    <row r="45" spans="1:7" s="112" customFormat="1" ht="19.5" customHeight="1">
      <c r="A45" s="119">
        <v>35080</v>
      </c>
      <c r="B45" s="120">
        <f t="shared" si="0"/>
        <v>20</v>
      </c>
      <c r="C45" s="21">
        <v>49</v>
      </c>
      <c r="D45" s="21">
        <v>1</v>
      </c>
      <c r="E45" s="21"/>
      <c r="F45" s="21">
        <v>48</v>
      </c>
      <c r="G45" s="21"/>
    </row>
    <row r="46" spans="1:7" s="112" customFormat="1" ht="19.5" customHeight="1">
      <c r="A46" s="119">
        <v>35100</v>
      </c>
      <c r="B46" s="120">
        <f t="shared" si="0"/>
        <v>20</v>
      </c>
      <c r="C46" s="21">
        <v>57</v>
      </c>
      <c r="D46" s="21">
        <v>1</v>
      </c>
      <c r="E46" s="21"/>
      <c r="F46" s="21">
        <v>56</v>
      </c>
      <c r="G46" s="21"/>
    </row>
    <row r="47" spans="1:7" s="112" customFormat="1" ht="19.5" customHeight="1">
      <c r="A47" s="119">
        <v>35120</v>
      </c>
      <c r="B47" s="120">
        <f t="shared" si="0"/>
        <v>20</v>
      </c>
      <c r="C47" s="21">
        <v>51</v>
      </c>
      <c r="D47" s="21">
        <v>2</v>
      </c>
      <c r="E47" s="21"/>
      <c r="F47" s="21">
        <v>49</v>
      </c>
      <c r="G47" s="21"/>
    </row>
    <row r="48" spans="1:7" s="112" customFormat="1" ht="19.5" customHeight="1">
      <c r="A48" s="119">
        <v>35140</v>
      </c>
      <c r="B48" s="120">
        <f t="shared" si="0"/>
        <v>20</v>
      </c>
      <c r="C48" s="21">
        <v>55</v>
      </c>
      <c r="D48" s="21">
        <v>4</v>
      </c>
      <c r="E48" s="21"/>
      <c r="F48" s="21">
        <v>51</v>
      </c>
      <c r="G48" s="21"/>
    </row>
    <row r="49" spans="1:7" s="112" customFormat="1" ht="19.5" customHeight="1">
      <c r="A49" s="119">
        <v>35160</v>
      </c>
      <c r="B49" s="120">
        <f t="shared" si="0"/>
        <v>20</v>
      </c>
      <c r="C49" s="21">
        <v>55</v>
      </c>
      <c r="D49" s="21">
        <v>14</v>
      </c>
      <c r="E49" s="21"/>
      <c r="F49" s="21">
        <v>40</v>
      </c>
      <c r="G49" s="21"/>
    </row>
    <row r="50" spans="1:7" s="112" customFormat="1" ht="19.5" customHeight="1">
      <c r="A50" s="119">
        <v>35180</v>
      </c>
      <c r="B50" s="120">
        <f t="shared" si="0"/>
        <v>20</v>
      </c>
      <c r="C50" s="21">
        <v>37</v>
      </c>
      <c r="D50" s="21">
        <v>27</v>
      </c>
      <c r="E50" s="21"/>
      <c r="F50" s="21">
        <v>8</v>
      </c>
      <c r="G50" s="21"/>
    </row>
    <row r="51" spans="1:7" s="112" customFormat="1" ht="19.5" customHeight="1">
      <c r="A51" s="119">
        <v>35200</v>
      </c>
      <c r="B51" s="120">
        <f t="shared" si="0"/>
        <v>20</v>
      </c>
      <c r="C51" s="21">
        <v>33</v>
      </c>
      <c r="D51" s="21">
        <v>30</v>
      </c>
      <c r="E51" s="21">
        <v>1</v>
      </c>
      <c r="F51" s="21"/>
      <c r="G51" s="21"/>
    </row>
    <row r="52" spans="1:7" s="112" customFormat="1" ht="19.5" customHeight="1">
      <c r="A52" s="119">
        <v>35220</v>
      </c>
      <c r="B52" s="120">
        <f t="shared" si="0"/>
        <v>20</v>
      </c>
      <c r="C52" s="21">
        <v>36</v>
      </c>
      <c r="D52" s="21">
        <v>31</v>
      </c>
      <c r="E52" s="21"/>
      <c r="F52" s="21">
        <v>2</v>
      </c>
      <c r="G52" s="21"/>
    </row>
    <row r="53" spans="1:7" s="112" customFormat="1" ht="19.5" customHeight="1">
      <c r="A53" s="119">
        <v>35240</v>
      </c>
      <c r="B53" s="120">
        <f aca="true" t="shared" si="1" ref="B53:B62">A53-A52</f>
        <v>20</v>
      </c>
      <c r="C53" s="21">
        <v>36</v>
      </c>
      <c r="D53" s="21">
        <v>29</v>
      </c>
      <c r="E53" s="21"/>
      <c r="F53" s="21">
        <v>4</v>
      </c>
      <c r="G53" s="21"/>
    </row>
    <row r="54" spans="1:7" s="112" customFormat="1" ht="19.5" customHeight="1">
      <c r="A54" s="119">
        <v>35260</v>
      </c>
      <c r="B54" s="120">
        <f t="shared" si="1"/>
        <v>20</v>
      </c>
      <c r="C54" s="21">
        <v>47</v>
      </c>
      <c r="D54" s="21">
        <v>22</v>
      </c>
      <c r="E54" s="21"/>
      <c r="F54" s="21">
        <v>23</v>
      </c>
      <c r="G54" s="21"/>
    </row>
    <row r="55" spans="1:7" s="112" customFormat="1" ht="19.5" customHeight="1">
      <c r="A55" s="119">
        <v>35280</v>
      </c>
      <c r="B55" s="120">
        <f t="shared" si="1"/>
        <v>20</v>
      </c>
      <c r="C55" s="21">
        <v>52</v>
      </c>
      <c r="D55" s="21">
        <v>20</v>
      </c>
      <c r="E55" s="21"/>
      <c r="F55" s="21">
        <v>30</v>
      </c>
      <c r="G55" s="21"/>
    </row>
    <row r="56" spans="1:7" s="112" customFormat="1" ht="19.5" customHeight="1">
      <c r="A56" s="119">
        <v>35300</v>
      </c>
      <c r="B56" s="120">
        <f t="shared" si="1"/>
        <v>20</v>
      </c>
      <c r="C56" s="21">
        <v>35</v>
      </c>
      <c r="D56" s="21">
        <v>21</v>
      </c>
      <c r="E56" s="21"/>
      <c r="F56" s="21">
        <v>13</v>
      </c>
      <c r="G56" s="21"/>
    </row>
    <row r="57" spans="1:7" s="112" customFormat="1" ht="19.5" customHeight="1">
      <c r="A57" s="119">
        <v>35320</v>
      </c>
      <c r="B57" s="120">
        <f t="shared" si="1"/>
        <v>20</v>
      </c>
      <c r="C57" s="21">
        <v>50</v>
      </c>
      <c r="D57" s="21">
        <v>11</v>
      </c>
      <c r="E57" s="21"/>
      <c r="F57" s="21">
        <v>38</v>
      </c>
      <c r="G57" s="21"/>
    </row>
    <row r="58" spans="1:7" s="112" customFormat="1" ht="19.5" customHeight="1">
      <c r="A58" s="119">
        <v>35340</v>
      </c>
      <c r="B58" s="120">
        <f t="shared" si="1"/>
        <v>20</v>
      </c>
      <c r="C58" s="21">
        <v>74</v>
      </c>
      <c r="D58" s="21">
        <v>2</v>
      </c>
      <c r="E58" s="21"/>
      <c r="F58" s="21">
        <v>72</v>
      </c>
      <c r="G58" s="21"/>
    </row>
    <row r="59" spans="1:7" s="112" customFormat="1" ht="19.5" customHeight="1">
      <c r="A59" s="119">
        <v>35360</v>
      </c>
      <c r="B59" s="120">
        <f t="shared" si="1"/>
        <v>20</v>
      </c>
      <c r="C59" s="21">
        <v>62</v>
      </c>
      <c r="D59" s="21">
        <v>4</v>
      </c>
      <c r="E59" s="21"/>
      <c r="F59" s="21">
        <v>58</v>
      </c>
      <c r="G59" s="21"/>
    </row>
    <row r="60" spans="1:7" s="112" customFormat="1" ht="19.5" customHeight="1">
      <c r="A60" s="119">
        <v>35380</v>
      </c>
      <c r="B60" s="120">
        <f t="shared" si="1"/>
        <v>20</v>
      </c>
      <c r="C60" s="21">
        <v>43</v>
      </c>
      <c r="D60" s="21">
        <v>9</v>
      </c>
      <c r="E60" s="21"/>
      <c r="F60" s="21">
        <v>32</v>
      </c>
      <c r="G60" s="21"/>
    </row>
    <row r="61" spans="1:7" s="112" customFormat="1" ht="19.5" customHeight="1">
      <c r="A61" s="119">
        <v>35400</v>
      </c>
      <c r="B61" s="120">
        <f t="shared" si="1"/>
        <v>20</v>
      </c>
      <c r="C61" s="21">
        <v>54</v>
      </c>
      <c r="D61" s="21">
        <v>8</v>
      </c>
      <c r="E61" s="21"/>
      <c r="F61" s="21">
        <v>45</v>
      </c>
      <c r="G61" s="21"/>
    </row>
    <row r="62" spans="1:7" s="112" customFormat="1" ht="19.5" customHeight="1">
      <c r="A62" s="119">
        <v>35420</v>
      </c>
      <c r="B62" s="120">
        <f t="shared" si="1"/>
        <v>20</v>
      </c>
      <c r="C62" s="21">
        <v>55</v>
      </c>
      <c r="D62" s="21">
        <v>6</v>
      </c>
      <c r="E62" s="21"/>
      <c r="F62" s="21">
        <v>49</v>
      </c>
      <c r="G62" s="21"/>
    </row>
    <row r="63" spans="1:7" s="113" customFormat="1" ht="25.5" customHeight="1">
      <c r="A63" s="421" t="s">
        <v>230</v>
      </c>
      <c r="B63" s="422"/>
      <c r="C63" s="122">
        <f>SUM(C5:C62)</f>
        <v>3115</v>
      </c>
      <c r="D63" s="122">
        <f>SUM(D5:D62)</f>
        <v>2089</v>
      </c>
      <c r="E63" s="122">
        <f>SUM(E5:E62)</f>
        <v>7177</v>
      </c>
      <c r="F63" s="122">
        <f>SUM(F5:F62)</f>
        <v>836</v>
      </c>
      <c r="G63" s="122"/>
    </row>
  </sheetData>
  <sheetProtection/>
  <mergeCells count="8">
    <mergeCell ref="A1:G1"/>
    <mergeCell ref="D3:E3"/>
    <mergeCell ref="A63:B63"/>
    <mergeCell ref="A3:A4"/>
    <mergeCell ref="B3:B4"/>
    <mergeCell ref="C3:C4"/>
    <mergeCell ref="F3:F4"/>
    <mergeCell ref="G3:G4"/>
  </mergeCells>
  <printOptions/>
  <pageMargins left="0.39" right="0.39" top="0.98" bottom="1.2" header="0.51" footer="0.75"/>
  <pageSetup horizontalDpi="300" verticalDpi="300" orientation="portrait" paperSize="9"/>
  <headerFooter alignWithMargins="0">
    <oddFooter>&amp;L施工单位：&amp;C                              监理单位：                        代建单位：</oddFooter>
  </headerFooter>
</worksheet>
</file>

<file path=xl/worksheets/sheet12.xml><?xml version="1.0" encoding="utf-8"?>
<worksheet xmlns="http://schemas.openxmlformats.org/spreadsheetml/2006/main" xmlns:r="http://schemas.openxmlformats.org/officeDocument/2006/relationships">
  <sheetPr>
    <tabColor indexed="49"/>
  </sheetPr>
  <dimension ref="A1:Y61"/>
  <sheetViews>
    <sheetView zoomScalePageLayoutView="0" workbookViewId="0" topLeftCell="A1">
      <pane xSplit="3" ySplit="5" topLeftCell="D12" activePane="bottomRight" state="frozen"/>
      <selection pane="topLeft" activeCell="A1" sqref="A1"/>
      <selection pane="topRight" activeCell="A1" sqref="A1"/>
      <selection pane="bottomLeft" activeCell="A1" sqref="A1"/>
      <selection pane="bottomRight" activeCell="M13" sqref="M13"/>
    </sheetView>
  </sheetViews>
  <sheetFormatPr defaultColWidth="9.00390625" defaultRowHeight="14.25"/>
  <cols>
    <col min="1" max="1" width="8.875" style="75" customWidth="1"/>
    <col min="2" max="2" width="12.00390625" style="75" customWidth="1"/>
    <col min="3" max="3" width="4.75390625" style="75" customWidth="1"/>
    <col min="4" max="4" width="7.75390625" style="75" customWidth="1"/>
    <col min="5" max="5" width="5.75390625" style="75" customWidth="1"/>
    <col min="6" max="6" width="6.625" style="76" customWidth="1"/>
    <col min="7" max="7" width="6.375" style="76" customWidth="1"/>
    <col min="8" max="8" width="6.00390625" style="76" customWidth="1"/>
    <col min="9" max="9" width="8.00390625" style="76" customWidth="1"/>
    <col min="10" max="10" width="9.375" style="75" customWidth="1"/>
    <col min="11" max="14" width="6.00390625" style="76" customWidth="1"/>
    <col min="15" max="15" width="7.875" style="76" customWidth="1"/>
    <col min="16" max="16" width="6.625" style="76" customWidth="1"/>
    <col min="17" max="17" width="6.875" style="76" customWidth="1"/>
    <col min="18" max="18" width="6.625" style="76" customWidth="1"/>
    <col min="19" max="19" width="7.00390625" style="76" customWidth="1"/>
    <col min="20" max="20" width="6.25390625" style="76" customWidth="1"/>
    <col min="21" max="21" width="7.625" style="76" customWidth="1"/>
    <col min="22" max="22" width="6.625" style="76" customWidth="1"/>
    <col min="23" max="24" width="6.75390625" style="76" customWidth="1"/>
    <col min="25" max="25" width="8.00390625" style="70" customWidth="1"/>
    <col min="26" max="16384" width="9.00390625" style="75" customWidth="1"/>
  </cols>
  <sheetData>
    <row r="1" spans="1:25" ht="37.5" customHeight="1">
      <c r="A1" s="425" t="s">
        <v>308</v>
      </c>
      <c r="B1" s="425"/>
      <c r="C1" s="425"/>
      <c r="D1" s="425"/>
      <c r="E1" s="425"/>
      <c r="F1" s="425"/>
      <c r="G1" s="425"/>
      <c r="H1" s="425"/>
      <c r="I1" s="425"/>
      <c r="J1" s="425"/>
      <c r="K1" s="425"/>
      <c r="L1" s="425"/>
      <c r="M1" s="425"/>
      <c r="N1" s="425"/>
      <c r="O1" s="425"/>
      <c r="P1" s="425"/>
      <c r="Q1" s="425"/>
      <c r="R1" s="425"/>
      <c r="S1" s="425"/>
      <c r="T1" s="425"/>
      <c r="U1" s="425"/>
      <c r="V1" s="425"/>
      <c r="W1" s="425"/>
      <c r="X1" s="425"/>
      <c r="Y1" s="425"/>
    </row>
    <row r="2" spans="1:25" ht="10.5" customHeight="1">
      <c r="A2" s="77"/>
      <c r="B2" s="77"/>
      <c r="C2" s="77"/>
      <c r="D2" s="77"/>
      <c r="E2" s="77"/>
      <c r="F2" s="77"/>
      <c r="G2" s="77"/>
      <c r="H2" s="77"/>
      <c r="I2" s="77"/>
      <c r="J2" s="77"/>
      <c r="K2" s="77"/>
      <c r="L2" s="77"/>
      <c r="M2" s="77"/>
      <c r="N2" s="77"/>
      <c r="O2" s="77"/>
      <c r="P2" s="77"/>
      <c r="Q2" s="77"/>
      <c r="R2" s="77"/>
      <c r="S2" s="77"/>
      <c r="T2" s="77"/>
      <c r="U2" s="77"/>
      <c r="V2" s="77"/>
      <c r="W2" s="77"/>
      <c r="X2" s="77"/>
      <c r="Y2" s="105"/>
    </row>
    <row r="3" spans="1:25" ht="15.75" customHeight="1">
      <c r="A3" s="437" t="s">
        <v>309</v>
      </c>
      <c r="B3" s="426" t="s">
        <v>310</v>
      </c>
      <c r="C3" s="426" t="s">
        <v>311</v>
      </c>
      <c r="D3" s="426" t="s">
        <v>312</v>
      </c>
      <c r="E3" s="427"/>
      <c r="F3" s="427"/>
      <c r="G3" s="427"/>
      <c r="H3" s="427"/>
      <c r="I3" s="427"/>
      <c r="J3" s="427"/>
      <c r="K3" s="426" t="s">
        <v>313</v>
      </c>
      <c r="L3" s="427"/>
      <c r="M3" s="427"/>
      <c r="N3" s="427"/>
      <c r="O3" s="427"/>
      <c r="P3" s="427"/>
      <c r="Q3" s="427"/>
      <c r="R3" s="427"/>
      <c r="S3" s="427"/>
      <c r="T3" s="427"/>
      <c r="U3" s="427"/>
      <c r="V3" s="426" t="s">
        <v>314</v>
      </c>
      <c r="W3" s="426" t="s">
        <v>315</v>
      </c>
      <c r="X3" s="426" t="s">
        <v>316</v>
      </c>
      <c r="Y3" s="443" t="s">
        <v>230</v>
      </c>
    </row>
    <row r="4" spans="1:25" ht="15.75" customHeight="1">
      <c r="A4" s="438"/>
      <c r="B4" s="429"/>
      <c r="C4" s="429"/>
      <c r="D4" s="428" t="s">
        <v>317</v>
      </c>
      <c r="E4" s="429"/>
      <c r="F4" s="428" t="s">
        <v>318</v>
      </c>
      <c r="G4" s="429"/>
      <c r="H4" s="441" t="s">
        <v>319</v>
      </c>
      <c r="I4" s="428" t="s">
        <v>320</v>
      </c>
      <c r="J4" s="428" t="s">
        <v>321</v>
      </c>
      <c r="K4" s="428" t="s">
        <v>322</v>
      </c>
      <c r="L4" s="429"/>
      <c r="M4" s="429"/>
      <c r="N4" s="429"/>
      <c r="O4" s="428" t="s">
        <v>323</v>
      </c>
      <c r="P4" s="429"/>
      <c r="Q4" s="429"/>
      <c r="R4" s="429"/>
      <c r="S4" s="429"/>
      <c r="T4" s="80"/>
      <c r="U4" s="428" t="s">
        <v>321</v>
      </c>
      <c r="V4" s="429"/>
      <c r="W4" s="429"/>
      <c r="X4" s="429"/>
      <c r="Y4" s="444"/>
    </row>
    <row r="5" spans="1:25" ht="24.75" customHeight="1">
      <c r="A5" s="438"/>
      <c r="B5" s="429"/>
      <c r="C5" s="429"/>
      <c r="D5" s="79" t="s">
        <v>324</v>
      </c>
      <c r="E5" s="79" t="s">
        <v>325</v>
      </c>
      <c r="F5" s="79" t="s">
        <v>326</v>
      </c>
      <c r="G5" s="79" t="s">
        <v>327</v>
      </c>
      <c r="H5" s="442"/>
      <c r="I5" s="429"/>
      <c r="J5" s="429"/>
      <c r="K5" s="78" t="s">
        <v>328</v>
      </c>
      <c r="L5" s="79" t="s">
        <v>329</v>
      </c>
      <c r="M5" s="79" t="s">
        <v>330</v>
      </c>
      <c r="N5" s="78" t="s">
        <v>331</v>
      </c>
      <c r="O5" s="78" t="s">
        <v>332</v>
      </c>
      <c r="P5" s="79" t="s">
        <v>333</v>
      </c>
      <c r="Q5" s="78" t="s">
        <v>334</v>
      </c>
      <c r="R5" s="79" t="s">
        <v>335</v>
      </c>
      <c r="S5" s="79" t="s">
        <v>331</v>
      </c>
      <c r="T5" s="79" t="s">
        <v>336</v>
      </c>
      <c r="U5" s="428" t="s">
        <v>337</v>
      </c>
      <c r="V5" s="429"/>
      <c r="W5" s="429"/>
      <c r="X5" s="429"/>
      <c r="Y5" s="444"/>
    </row>
    <row r="6" spans="1:25" s="70" customFormat="1" ht="14.25" customHeight="1">
      <c r="A6" s="430" t="s">
        <v>338</v>
      </c>
      <c r="B6" s="81" t="s">
        <v>339</v>
      </c>
      <c r="C6" s="81" t="s">
        <v>340</v>
      </c>
      <c r="D6" s="82">
        <f>108.8*1</f>
        <v>108.8</v>
      </c>
      <c r="E6" s="82"/>
      <c r="F6" s="82">
        <f>40*1+22</f>
        <v>62</v>
      </c>
      <c r="G6" s="82"/>
      <c r="H6" s="82"/>
      <c r="I6" s="82">
        <f>0.08*1</f>
        <v>0.08</v>
      </c>
      <c r="J6" s="82">
        <f aca="true" t="shared" si="0" ref="J6:J44">SUM(D6:I6)</f>
        <v>170.88000000000002</v>
      </c>
      <c r="K6" s="82"/>
      <c r="L6" s="82"/>
      <c r="M6" s="82"/>
      <c r="N6" s="82"/>
      <c r="O6" s="82"/>
      <c r="P6" s="82"/>
      <c r="Q6" s="82"/>
      <c r="R6" s="82"/>
      <c r="S6" s="82"/>
      <c r="T6" s="82"/>
      <c r="U6" s="82">
        <f aca="true" t="shared" si="1" ref="U6:U44">SUM(K6:T6)</f>
        <v>0</v>
      </c>
      <c r="V6" s="82"/>
      <c r="W6" s="82"/>
      <c r="X6" s="82"/>
      <c r="Y6" s="106">
        <f aca="true" t="shared" si="2" ref="Y6:Y44">J6+U6+V6+W6</f>
        <v>170.88000000000002</v>
      </c>
    </row>
    <row r="7" spans="1:25" s="70" customFormat="1" ht="14.25" customHeight="1">
      <c r="A7" s="439"/>
      <c r="B7" s="81" t="s">
        <v>341</v>
      </c>
      <c r="C7" s="81" t="s">
        <v>340</v>
      </c>
      <c r="D7" s="82"/>
      <c r="E7" s="82">
        <f>3.8*1</f>
        <v>3.8</v>
      </c>
      <c r="F7" s="82"/>
      <c r="G7" s="82"/>
      <c r="H7" s="82"/>
      <c r="I7" s="82"/>
      <c r="J7" s="82">
        <f t="shared" si="0"/>
        <v>3.8</v>
      </c>
      <c r="K7" s="82"/>
      <c r="L7" s="82"/>
      <c r="M7" s="82"/>
      <c r="N7" s="82"/>
      <c r="O7" s="82"/>
      <c r="P7" s="82"/>
      <c r="Q7" s="82"/>
      <c r="R7" s="82"/>
      <c r="S7" s="82"/>
      <c r="T7" s="82"/>
      <c r="U7" s="82">
        <f t="shared" si="1"/>
        <v>0</v>
      </c>
      <c r="V7" s="82"/>
      <c r="W7" s="82"/>
      <c r="X7" s="82"/>
      <c r="Y7" s="106">
        <f t="shared" si="2"/>
        <v>3.8</v>
      </c>
    </row>
    <row r="8" spans="1:25" s="70" customFormat="1" ht="14.25" customHeight="1">
      <c r="A8" s="439"/>
      <c r="B8" s="81" t="s">
        <v>342</v>
      </c>
      <c r="C8" s="81" t="s">
        <v>340</v>
      </c>
      <c r="D8" s="82"/>
      <c r="E8" s="82"/>
      <c r="F8" s="82"/>
      <c r="G8" s="82"/>
      <c r="H8" s="82"/>
      <c r="I8" s="82">
        <f>0.333*25.04*2</f>
        <v>16.67664</v>
      </c>
      <c r="J8" s="82">
        <f t="shared" si="0"/>
        <v>16.67664</v>
      </c>
      <c r="K8" s="82"/>
      <c r="L8" s="82"/>
      <c r="M8" s="82"/>
      <c r="N8" s="82"/>
      <c r="O8" s="82">
        <f>2*(10.8+0.19)</f>
        <v>21.98</v>
      </c>
      <c r="P8" s="82">
        <f>2*(31.68+12.76)</f>
        <v>88.88</v>
      </c>
      <c r="Q8" s="82">
        <f>2*9.48</f>
        <v>18.96</v>
      </c>
      <c r="R8" s="82">
        <f>2*135.2</f>
        <v>270.4</v>
      </c>
      <c r="S8" s="82"/>
      <c r="T8" s="82"/>
      <c r="U8" s="82">
        <f t="shared" si="1"/>
        <v>400.21999999999997</v>
      </c>
      <c r="V8" s="82">
        <f>2*30.8</f>
        <v>61.6</v>
      </c>
      <c r="W8" s="82"/>
      <c r="X8" s="82"/>
      <c r="Y8" s="106">
        <f t="shared" si="2"/>
        <v>478.49664</v>
      </c>
    </row>
    <row r="9" spans="1:25" s="70" customFormat="1" ht="14.25" customHeight="1">
      <c r="A9" s="439"/>
      <c r="B9" s="81" t="s">
        <v>343</v>
      </c>
      <c r="C9" s="81" t="s">
        <v>340</v>
      </c>
      <c r="D9" s="82"/>
      <c r="E9" s="82"/>
      <c r="F9" s="82"/>
      <c r="G9" s="82"/>
      <c r="H9" s="82"/>
      <c r="I9" s="82"/>
      <c r="J9" s="82">
        <f t="shared" si="0"/>
        <v>0</v>
      </c>
      <c r="K9" s="82"/>
      <c r="L9" s="82"/>
      <c r="M9" s="82"/>
      <c r="N9" s="82"/>
      <c r="O9" s="82"/>
      <c r="P9" s="82"/>
      <c r="Q9" s="82"/>
      <c r="R9" s="82"/>
      <c r="S9" s="82">
        <f>2*90.48</f>
        <v>180.96</v>
      </c>
      <c r="T9" s="82"/>
      <c r="U9" s="82">
        <f t="shared" si="1"/>
        <v>180.96</v>
      </c>
      <c r="V9" s="82"/>
      <c r="W9" s="82"/>
      <c r="X9" s="82"/>
      <c r="Y9" s="106">
        <f t="shared" si="2"/>
        <v>180.96</v>
      </c>
    </row>
    <row r="10" spans="1:25" s="70" customFormat="1" ht="14.25" customHeight="1">
      <c r="A10" s="439"/>
      <c r="B10" s="81" t="s">
        <v>344</v>
      </c>
      <c r="C10" s="81" t="s">
        <v>340</v>
      </c>
      <c r="D10" s="82"/>
      <c r="E10" s="82"/>
      <c r="F10" s="82"/>
      <c r="G10" s="82"/>
      <c r="H10" s="82">
        <f>0.1*24</f>
        <v>2.4000000000000004</v>
      </c>
      <c r="I10" s="82"/>
      <c r="J10" s="82">
        <f t="shared" si="0"/>
        <v>2.4000000000000004</v>
      </c>
      <c r="K10" s="82"/>
      <c r="L10" s="82"/>
      <c r="M10" s="82"/>
      <c r="N10" s="82"/>
      <c r="O10" s="82"/>
      <c r="P10" s="82"/>
      <c r="Q10" s="82"/>
      <c r="R10" s="82"/>
      <c r="S10" s="82"/>
      <c r="T10" s="82"/>
      <c r="U10" s="82">
        <f t="shared" si="1"/>
        <v>0</v>
      </c>
      <c r="V10" s="82"/>
      <c r="W10" s="82"/>
      <c r="X10" s="82"/>
      <c r="Y10" s="106">
        <f t="shared" si="2"/>
        <v>2.4000000000000004</v>
      </c>
    </row>
    <row r="11" spans="1:25" s="70" customFormat="1" ht="14.25" customHeight="1">
      <c r="A11" s="439"/>
      <c r="B11" s="81" t="s">
        <v>345</v>
      </c>
      <c r="C11" s="81" t="s">
        <v>340</v>
      </c>
      <c r="D11" s="82"/>
      <c r="E11" s="82"/>
      <c r="F11" s="82"/>
      <c r="G11" s="82"/>
      <c r="H11" s="82"/>
      <c r="I11" s="82">
        <f>0.836*1</f>
        <v>0.836</v>
      </c>
      <c r="J11" s="82">
        <f t="shared" si="0"/>
        <v>0.836</v>
      </c>
      <c r="K11" s="82"/>
      <c r="L11" s="82"/>
      <c r="M11" s="82"/>
      <c r="N11" s="82"/>
      <c r="O11" s="82"/>
      <c r="P11" s="82"/>
      <c r="Q11" s="82"/>
      <c r="R11" s="82"/>
      <c r="S11" s="82"/>
      <c r="T11" s="82"/>
      <c r="U11" s="82">
        <f t="shared" si="1"/>
        <v>0</v>
      </c>
      <c r="V11" s="82"/>
      <c r="W11" s="82"/>
      <c r="X11" s="82"/>
      <c r="Y11" s="106">
        <f t="shared" si="2"/>
        <v>0.836</v>
      </c>
    </row>
    <row r="12" spans="1:25" s="70" customFormat="1" ht="14.25" customHeight="1">
      <c r="A12" s="438"/>
      <c r="B12" s="81" t="s">
        <v>346</v>
      </c>
      <c r="C12" s="81" t="s">
        <v>340</v>
      </c>
      <c r="D12" s="82"/>
      <c r="E12" s="82"/>
      <c r="F12" s="82">
        <f>0.4*1</f>
        <v>0.4</v>
      </c>
      <c r="G12" s="82"/>
      <c r="H12" s="82"/>
      <c r="I12" s="82"/>
      <c r="J12" s="82">
        <f t="shared" si="0"/>
        <v>0.4</v>
      </c>
      <c r="K12" s="82"/>
      <c r="L12" s="82"/>
      <c r="M12" s="82"/>
      <c r="N12" s="82"/>
      <c r="O12" s="82"/>
      <c r="P12" s="82"/>
      <c r="Q12" s="82"/>
      <c r="R12" s="82"/>
      <c r="S12" s="82"/>
      <c r="T12" s="82"/>
      <c r="U12" s="82">
        <f t="shared" si="1"/>
        <v>0</v>
      </c>
      <c r="V12" s="82"/>
      <c r="W12" s="82"/>
      <c r="X12" s="82"/>
      <c r="Y12" s="106">
        <f t="shared" si="2"/>
        <v>0.4</v>
      </c>
    </row>
    <row r="13" spans="1:25" s="70" customFormat="1" ht="14.25" customHeight="1">
      <c r="A13" s="430" t="s">
        <v>347</v>
      </c>
      <c r="B13" s="431"/>
      <c r="C13" s="81" t="s">
        <v>340</v>
      </c>
      <c r="D13" s="82"/>
      <c r="E13" s="82"/>
      <c r="F13" s="82">
        <f>17.6*1</f>
        <v>17.6</v>
      </c>
      <c r="G13" s="82"/>
      <c r="H13" s="82"/>
      <c r="I13" s="82"/>
      <c r="J13" s="82">
        <f t="shared" si="0"/>
        <v>17.6</v>
      </c>
      <c r="K13" s="82"/>
      <c r="L13" s="82"/>
      <c r="M13" s="82"/>
      <c r="N13" s="82"/>
      <c r="O13" s="82"/>
      <c r="P13" s="82"/>
      <c r="Q13" s="82"/>
      <c r="R13" s="82"/>
      <c r="S13" s="82"/>
      <c r="T13" s="82"/>
      <c r="U13" s="82">
        <f t="shared" si="1"/>
        <v>0</v>
      </c>
      <c r="V13" s="82"/>
      <c r="W13" s="82"/>
      <c r="X13" s="82"/>
      <c r="Y13" s="106">
        <f t="shared" si="2"/>
        <v>17.6</v>
      </c>
    </row>
    <row r="14" spans="1:25" s="71" customFormat="1" ht="14.25" customHeight="1">
      <c r="A14" s="432" t="s">
        <v>348</v>
      </c>
      <c r="B14" s="433"/>
      <c r="C14" s="81" t="s">
        <v>349</v>
      </c>
      <c r="D14" s="82"/>
      <c r="E14" s="82"/>
      <c r="F14" s="82">
        <f>219.6*1</f>
        <v>219.6</v>
      </c>
      <c r="G14" s="82"/>
      <c r="H14" s="82"/>
      <c r="I14" s="82"/>
      <c r="J14" s="82">
        <f t="shared" si="0"/>
        <v>219.6</v>
      </c>
      <c r="K14" s="82"/>
      <c r="L14" s="82"/>
      <c r="M14" s="82"/>
      <c r="N14" s="82"/>
      <c r="O14" s="82"/>
      <c r="P14" s="82"/>
      <c r="Q14" s="82"/>
      <c r="R14" s="82"/>
      <c r="S14" s="82"/>
      <c r="T14" s="82"/>
      <c r="U14" s="82">
        <f t="shared" si="1"/>
        <v>0</v>
      </c>
      <c r="V14" s="82"/>
      <c r="W14" s="82"/>
      <c r="X14" s="82"/>
      <c r="Y14" s="106">
        <f t="shared" si="2"/>
        <v>219.6</v>
      </c>
    </row>
    <row r="15" spans="1:25" s="71" customFormat="1" ht="14.25" customHeight="1">
      <c r="A15" s="432" t="s">
        <v>350</v>
      </c>
      <c r="B15" s="433"/>
      <c r="C15" s="81" t="s">
        <v>349</v>
      </c>
      <c r="D15" s="82">
        <f>256.5*1</f>
        <v>256.5</v>
      </c>
      <c r="E15" s="82"/>
      <c r="F15" s="82"/>
      <c r="G15" s="82"/>
      <c r="H15" s="82"/>
      <c r="I15" s="82"/>
      <c r="J15" s="82">
        <f t="shared" si="0"/>
        <v>256.5</v>
      </c>
      <c r="K15" s="82"/>
      <c r="L15" s="82"/>
      <c r="M15" s="82"/>
      <c r="N15" s="82"/>
      <c r="O15" s="82"/>
      <c r="P15" s="82"/>
      <c r="Q15" s="82"/>
      <c r="R15" s="82"/>
      <c r="S15" s="82"/>
      <c r="T15" s="82"/>
      <c r="U15" s="82">
        <f t="shared" si="1"/>
        <v>0</v>
      </c>
      <c r="V15" s="82"/>
      <c r="W15" s="82"/>
      <c r="X15" s="82"/>
      <c r="Y15" s="106">
        <f t="shared" si="2"/>
        <v>256.5</v>
      </c>
    </row>
    <row r="16" spans="1:25" s="71" customFormat="1" ht="14.25" customHeight="1">
      <c r="A16" s="434" t="s">
        <v>351</v>
      </c>
      <c r="B16" s="433"/>
      <c r="C16" s="82" t="s">
        <v>84</v>
      </c>
      <c r="D16" s="82">
        <f>3809*1</f>
        <v>3809</v>
      </c>
      <c r="E16" s="82"/>
      <c r="F16" s="82"/>
      <c r="G16" s="82"/>
      <c r="H16" s="82"/>
      <c r="I16" s="82"/>
      <c r="J16" s="82">
        <f t="shared" si="0"/>
        <v>3809</v>
      </c>
      <c r="K16" s="82"/>
      <c r="L16" s="82"/>
      <c r="M16" s="82"/>
      <c r="N16" s="82"/>
      <c r="O16" s="82"/>
      <c r="P16" s="82"/>
      <c r="Q16" s="82"/>
      <c r="R16" s="82"/>
      <c r="S16" s="82"/>
      <c r="T16" s="82"/>
      <c r="U16" s="82">
        <f t="shared" si="1"/>
        <v>0</v>
      </c>
      <c r="V16" s="82"/>
      <c r="W16" s="82"/>
      <c r="X16" s="82"/>
      <c r="Y16" s="106">
        <f t="shared" si="2"/>
        <v>3809</v>
      </c>
    </row>
    <row r="17" spans="1:25" s="70" customFormat="1" ht="14.25" customHeight="1">
      <c r="A17" s="432" t="s">
        <v>352</v>
      </c>
      <c r="B17" s="82" t="s">
        <v>353</v>
      </c>
      <c r="C17" s="82" t="s">
        <v>84</v>
      </c>
      <c r="D17" s="82">
        <f>4324*1</f>
        <v>4324</v>
      </c>
      <c r="E17" s="82"/>
      <c r="F17" s="82"/>
      <c r="G17" s="82"/>
      <c r="H17" s="82">
        <f>365*2</f>
        <v>730</v>
      </c>
      <c r="I17" s="82">
        <f>1443.9*1+355.68*1+(13.9+36.99)*1+2*15.24+2*0.88+0.85*24.04*2+16.04*24.04*2</f>
        <v>2694.7812000000004</v>
      </c>
      <c r="J17" s="82">
        <f t="shared" si="0"/>
        <v>7748.7812</v>
      </c>
      <c r="K17" s="82"/>
      <c r="L17" s="82"/>
      <c r="M17" s="82"/>
      <c r="N17" s="82"/>
      <c r="O17" s="82">
        <f>2*(195.5+19.8)</f>
        <v>430.6</v>
      </c>
      <c r="P17" s="82">
        <f>2*300.1</f>
        <v>600.2</v>
      </c>
      <c r="Q17" s="82">
        <f>2*34.1</f>
        <v>68.2</v>
      </c>
      <c r="R17" s="82"/>
      <c r="S17" s="82">
        <f>2*1665.1</f>
        <v>3330.2</v>
      </c>
      <c r="T17" s="82"/>
      <c r="U17" s="82">
        <f t="shared" si="1"/>
        <v>4429.2</v>
      </c>
      <c r="V17" s="82"/>
      <c r="W17" s="82"/>
      <c r="X17" s="82"/>
      <c r="Y17" s="106">
        <f t="shared" si="2"/>
        <v>12177.9812</v>
      </c>
    </row>
    <row r="18" spans="1:25" s="70" customFormat="1" ht="14.25" customHeight="1">
      <c r="A18" s="434"/>
      <c r="B18" s="82" t="s">
        <v>354</v>
      </c>
      <c r="C18" s="82" t="s">
        <v>84</v>
      </c>
      <c r="D18" s="82">
        <f>12626*1</f>
        <v>12626</v>
      </c>
      <c r="E18" s="82"/>
      <c r="F18" s="82">
        <f>4269*1+3881</f>
        <v>8150</v>
      </c>
      <c r="G18" s="82">
        <f>0*1093</f>
        <v>0</v>
      </c>
      <c r="H18" s="82"/>
      <c r="I18" s="82">
        <f>70.12*24.04*2+73.26*2</f>
        <v>3517.8896</v>
      </c>
      <c r="J18" s="82">
        <f t="shared" si="0"/>
        <v>24293.8896</v>
      </c>
      <c r="K18" s="82"/>
      <c r="L18" s="82"/>
      <c r="M18" s="82"/>
      <c r="N18" s="82"/>
      <c r="O18" s="82">
        <f>2*(674.3+62.2)</f>
        <v>1473</v>
      </c>
      <c r="P18" s="82">
        <f>2*(869.3+2735+1480.3)</f>
        <v>10169.2</v>
      </c>
      <c r="Q18" s="82">
        <f>2*(523.5+266+289.4)</f>
        <v>2157.8</v>
      </c>
      <c r="R18" s="82">
        <f>2*(4370+2649.9+1012.9+242.9)</f>
        <v>16551.399999999998</v>
      </c>
      <c r="S18" s="82">
        <f>2*(7350.7+252.7)</f>
        <v>15206.8</v>
      </c>
      <c r="T18" s="82"/>
      <c r="U18" s="82">
        <f t="shared" si="1"/>
        <v>45558.2</v>
      </c>
      <c r="V18" s="82">
        <f>2*(1861.2+971.6+1397.7+732.7+386.4)</f>
        <v>10699.199999999999</v>
      </c>
      <c r="W18" s="82"/>
      <c r="X18" s="82"/>
      <c r="Y18" s="106">
        <f t="shared" si="2"/>
        <v>80551.28959999999</v>
      </c>
    </row>
    <row r="19" spans="1:25" s="70" customFormat="1" ht="14.25" customHeight="1">
      <c r="A19" s="432" t="s">
        <v>355</v>
      </c>
      <c r="B19" s="82" t="s">
        <v>356</v>
      </c>
      <c r="C19" s="82" t="s">
        <v>84</v>
      </c>
      <c r="D19" s="83"/>
      <c r="E19" s="83"/>
      <c r="F19" s="84"/>
      <c r="G19" s="83"/>
      <c r="H19" s="83"/>
      <c r="I19" s="82">
        <f>1864.8*1</f>
        <v>1864.8</v>
      </c>
      <c r="J19" s="82">
        <f t="shared" si="0"/>
        <v>1864.8</v>
      </c>
      <c r="K19" s="83"/>
      <c r="L19" s="83"/>
      <c r="M19" s="83"/>
      <c r="N19" s="83"/>
      <c r="O19" s="83"/>
      <c r="P19" s="83"/>
      <c r="Q19" s="83"/>
      <c r="R19" s="83"/>
      <c r="S19" s="83"/>
      <c r="T19" s="83"/>
      <c r="U19" s="82">
        <f t="shared" si="1"/>
        <v>0</v>
      </c>
      <c r="V19" s="83"/>
      <c r="W19" s="83"/>
      <c r="X19" s="83"/>
      <c r="Y19" s="106">
        <f t="shared" si="2"/>
        <v>1864.8</v>
      </c>
    </row>
    <row r="20" spans="1:25" s="70" customFormat="1" ht="14.25" customHeight="1">
      <c r="A20" s="434"/>
      <c r="B20" s="82" t="s">
        <v>357</v>
      </c>
      <c r="C20" s="82" t="s">
        <v>84</v>
      </c>
      <c r="D20" s="83"/>
      <c r="E20" s="83"/>
      <c r="F20" s="84"/>
      <c r="G20" s="83"/>
      <c r="H20" s="83"/>
      <c r="I20" s="82">
        <f>914.4*1</f>
        <v>914.4</v>
      </c>
      <c r="J20" s="82">
        <f t="shared" si="0"/>
        <v>914.4</v>
      </c>
      <c r="K20" s="83"/>
      <c r="L20" s="83"/>
      <c r="M20" s="83"/>
      <c r="N20" s="83"/>
      <c r="O20" s="83"/>
      <c r="P20" s="83"/>
      <c r="Q20" s="83"/>
      <c r="R20" s="83"/>
      <c r="S20" s="83"/>
      <c r="T20" s="83"/>
      <c r="U20" s="82">
        <f t="shared" si="1"/>
        <v>0</v>
      </c>
      <c r="V20" s="83"/>
      <c r="W20" s="83"/>
      <c r="X20" s="83"/>
      <c r="Y20" s="106">
        <f t="shared" si="2"/>
        <v>914.4</v>
      </c>
    </row>
    <row r="21" spans="1:25" s="70" customFormat="1" ht="14.25" customHeight="1">
      <c r="A21" s="432" t="s">
        <v>358</v>
      </c>
      <c r="B21" s="82" t="s">
        <v>359</v>
      </c>
      <c r="C21" s="85" t="s">
        <v>142</v>
      </c>
      <c r="D21" s="83"/>
      <c r="E21" s="83"/>
      <c r="F21" s="84"/>
      <c r="G21" s="83"/>
      <c r="H21" s="83"/>
      <c r="I21" s="86">
        <f>2*9*2</f>
        <v>36</v>
      </c>
      <c r="J21" s="82">
        <f t="shared" si="0"/>
        <v>36</v>
      </c>
      <c r="K21" s="83"/>
      <c r="L21" s="83"/>
      <c r="M21" s="83"/>
      <c r="N21" s="83"/>
      <c r="O21" s="83"/>
      <c r="P21" s="83"/>
      <c r="Q21" s="83"/>
      <c r="R21" s="83"/>
      <c r="S21" s="83"/>
      <c r="T21" s="83"/>
      <c r="U21" s="82">
        <f t="shared" si="1"/>
        <v>0</v>
      </c>
      <c r="V21" s="83"/>
      <c r="W21" s="83"/>
      <c r="X21" s="83"/>
      <c r="Y21" s="106">
        <f t="shared" si="2"/>
        <v>36</v>
      </c>
    </row>
    <row r="22" spans="1:25" s="72" customFormat="1" ht="14.25" customHeight="1">
      <c r="A22" s="434"/>
      <c r="B22" s="82" t="s">
        <v>360</v>
      </c>
      <c r="C22" s="85" t="s">
        <v>142</v>
      </c>
      <c r="D22" s="86"/>
      <c r="E22" s="86"/>
      <c r="F22" s="82"/>
      <c r="G22" s="86"/>
      <c r="H22" s="86"/>
      <c r="I22" s="86">
        <f>0*9*2</f>
        <v>0</v>
      </c>
      <c r="J22" s="82">
        <f t="shared" si="0"/>
        <v>0</v>
      </c>
      <c r="K22" s="86"/>
      <c r="L22" s="86"/>
      <c r="M22" s="86"/>
      <c r="N22" s="86"/>
      <c r="O22" s="86"/>
      <c r="P22" s="86"/>
      <c r="Q22" s="86"/>
      <c r="R22" s="86"/>
      <c r="S22" s="86"/>
      <c r="T22" s="86"/>
      <c r="U22" s="82">
        <f t="shared" si="1"/>
        <v>0</v>
      </c>
      <c r="V22" s="82"/>
      <c r="W22" s="82"/>
      <c r="X22" s="82"/>
      <c r="Y22" s="106">
        <f t="shared" si="2"/>
        <v>0</v>
      </c>
    </row>
    <row r="23" spans="1:25" s="72" customFormat="1" ht="14.25" customHeight="1">
      <c r="A23" s="432" t="s">
        <v>361</v>
      </c>
      <c r="B23" s="82" t="s">
        <v>362</v>
      </c>
      <c r="C23" s="85" t="s">
        <v>142</v>
      </c>
      <c r="D23" s="86"/>
      <c r="E23" s="86"/>
      <c r="F23" s="82"/>
      <c r="G23" s="86"/>
      <c r="H23" s="86"/>
      <c r="I23" s="86">
        <f>9*2*2</f>
        <v>36</v>
      </c>
      <c r="J23" s="82">
        <f t="shared" si="0"/>
        <v>36</v>
      </c>
      <c r="K23" s="86"/>
      <c r="L23" s="86"/>
      <c r="M23" s="86"/>
      <c r="N23" s="86"/>
      <c r="O23" s="86"/>
      <c r="P23" s="86"/>
      <c r="Q23" s="86"/>
      <c r="R23" s="86"/>
      <c r="S23" s="86"/>
      <c r="T23" s="86"/>
      <c r="U23" s="82">
        <f t="shared" si="1"/>
        <v>0</v>
      </c>
      <c r="V23" s="82"/>
      <c r="W23" s="82"/>
      <c r="X23" s="82"/>
      <c r="Y23" s="106">
        <f t="shared" si="2"/>
        <v>36</v>
      </c>
    </row>
    <row r="24" spans="1:25" s="72" customFormat="1" ht="14.25" customHeight="1">
      <c r="A24" s="434"/>
      <c r="B24" s="82" t="s">
        <v>363</v>
      </c>
      <c r="C24" s="85" t="s">
        <v>142</v>
      </c>
      <c r="D24" s="86"/>
      <c r="E24" s="86"/>
      <c r="F24" s="82"/>
      <c r="G24" s="86"/>
      <c r="H24" s="86"/>
      <c r="I24" s="86">
        <f>9*2*0</f>
        <v>0</v>
      </c>
      <c r="J24" s="82">
        <f t="shared" si="0"/>
        <v>0</v>
      </c>
      <c r="K24" s="86"/>
      <c r="L24" s="86"/>
      <c r="M24" s="86"/>
      <c r="N24" s="86"/>
      <c r="O24" s="86"/>
      <c r="P24" s="86"/>
      <c r="Q24" s="86"/>
      <c r="R24" s="86"/>
      <c r="S24" s="86"/>
      <c r="T24" s="86"/>
      <c r="U24" s="82">
        <f t="shared" si="1"/>
        <v>0</v>
      </c>
      <c r="V24" s="82"/>
      <c r="W24" s="82"/>
      <c r="X24" s="82"/>
      <c r="Y24" s="106">
        <f t="shared" si="2"/>
        <v>0</v>
      </c>
    </row>
    <row r="25" spans="1:25" s="72" customFormat="1" ht="14.25" customHeight="1">
      <c r="A25" s="434"/>
      <c r="B25" s="82" t="s">
        <v>364</v>
      </c>
      <c r="C25" s="85" t="s">
        <v>142</v>
      </c>
      <c r="D25" s="86"/>
      <c r="E25" s="86"/>
      <c r="F25" s="82"/>
      <c r="G25" s="86"/>
      <c r="H25" s="86"/>
      <c r="I25" s="86">
        <f>4*2</f>
        <v>8</v>
      </c>
      <c r="J25" s="82">
        <f t="shared" si="0"/>
        <v>8</v>
      </c>
      <c r="K25" s="86"/>
      <c r="L25" s="86"/>
      <c r="M25" s="86"/>
      <c r="N25" s="86"/>
      <c r="O25" s="86"/>
      <c r="P25" s="86"/>
      <c r="Q25" s="86"/>
      <c r="R25" s="86"/>
      <c r="S25" s="86"/>
      <c r="T25" s="86"/>
      <c r="U25" s="82">
        <f t="shared" si="1"/>
        <v>0</v>
      </c>
      <c r="V25" s="82"/>
      <c r="W25" s="82"/>
      <c r="X25" s="82"/>
      <c r="Y25" s="106">
        <f t="shared" si="2"/>
        <v>8</v>
      </c>
    </row>
    <row r="26" spans="1:25" s="72" customFormat="1" ht="14.25" customHeight="1">
      <c r="A26" s="87" t="s">
        <v>365</v>
      </c>
      <c r="B26" s="86" t="s">
        <v>366</v>
      </c>
      <c r="C26" s="86" t="s">
        <v>84</v>
      </c>
      <c r="D26" s="86"/>
      <c r="E26" s="86"/>
      <c r="F26" s="82"/>
      <c r="G26" s="86"/>
      <c r="H26" s="86"/>
      <c r="I26" s="82">
        <f>4.8*1</f>
        <v>4.8</v>
      </c>
      <c r="J26" s="82">
        <f t="shared" si="0"/>
        <v>4.8</v>
      </c>
      <c r="K26" s="86"/>
      <c r="L26" s="86"/>
      <c r="M26" s="86"/>
      <c r="N26" s="86"/>
      <c r="O26" s="86"/>
      <c r="P26" s="86"/>
      <c r="Q26" s="86"/>
      <c r="R26" s="86"/>
      <c r="S26" s="86"/>
      <c r="T26" s="86"/>
      <c r="U26" s="82">
        <f t="shared" si="1"/>
        <v>0</v>
      </c>
      <c r="V26" s="82"/>
      <c r="W26" s="82"/>
      <c r="X26" s="82"/>
      <c r="Y26" s="106">
        <f t="shared" si="2"/>
        <v>4.8</v>
      </c>
    </row>
    <row r="27" spans="1:25" s="72" customFormat="1" ht="14.25" customHeight="1">
      <c r="A27" s="87" t="s">
        <v>367</v>
      </c>
      <c r="B27" s="86" t="s">
        <v>368</v>
      </c>
      <c r="C27" s="86" t="s">
        <v>84</v>
      </c>
      <c r="D27" s="86"/>
      <c r="E27" s="86"/>
      <c r="F27" s="82"/>
      <c r="G27" s="86"/>
      <c r="H27" s="86"/>
      <c r="I27" s="82">
        <f>10.56*1</f>
        <v>10.56</v>
      </c>
      <c r="J27" s="82">
        <f t="shared" si="0"/>
        <v>10.56</v>
      </c>
      <c r="K27" s="86"/>
      <c r="L27" s="86"/>
      <c r="M27" s="86"/>
      <c r="N27" s="86"/>
      <c r="O27" s="86"/>
      <c r="P27" s="86"/>
      <c r="Q27" s="86"/>
      <c r="R27" s="86"/>
      <c r="S27" s="86"/>
      <c r="T27" s="86"/>
      <c r="U27" s="82">
        <f t="shared" si="1"/>
        <v>0</v>
      </c>
      <c r="V27" s="82"/>
      <c r="W27" s="82"/>
      <c r="X27" s="82"/>
      <c r="Y27" s="106">
        <f t="shared" si="2"/>
        <v>10.56</v>
      </c>
    </row>
    <row r="28" spans="1:25" s="72" customFormat="1" ht="14.25" customHeight="1">
      <c r="A28" s="435" t="s">
        <v>369</v>
      </c>
      <c r="B28" s="436"/>
      <c r="C28" s="81" t="s">
        <v>51</v>
      </c>
      <c r="D28" s="86"/>
      <c r="E28" s="86"/>
      <c r="F28" s="82"/>
      <c r="G28" s="86"/>
      <c r="H28" s="82">
        <f>12*2</f>
        <v>24</v>
      </c>
      <c r="I28" s="86"/>
      <c r="J28" s="82">
        <f t="shared" si="0"/>
        <v>24</v>
      </c>
      <c r="K28" s="82"/>
      <c r="L28" s="82"/>
      <c r="M28" s="82"/>
      <c r="N28" s="82"/>
      <c r="O28" s="82"/>
      <c r="P28" s="82"/>
      <c r="Q28" s="82"/>
      <c r="R28" s="82"/>
      <c r="S28" s="82"/>
      <c r="T28" s="86"/>
      <c r="U28" s="82">
        <f t="shared" si="1"/>
        <v>0</v>
      </c>
      <c r="V28" s="82"/>
      <c r="W28" s="82"/>
      <c r="X28" s="82"/>
      <c r="Y28" s="106">
        <f t="shared" si="2"/>
        <v>24</v>
      </c>
    </row>
    <row r="29" spans="1:25" s="71" customFormat="1" ht="14.25" customHeight="1">
      <c r="A29" s="432" t="s">
        <v>370</v>
      </c>
      <c r="B29" s="88" t="s">
        <v>371</v>
      </c>
      <c r="C29" s="440" t="s">
        <v>372</v>
      </c>
      <c r="D29" s="86">
        <f>28*1</f>
        <v>28</v>
      </c>
      <c r="E29" s="81"/>
      <c r="F29" s="82"/>
      <c r="G29" s="81"/>
      <c r="H29" s="81"/>
      <c r="I29" s="81"/>
      <c r="J29" s="82">
        <f t="shared" si="0"/>
        <v>28</v>
      </c>
      <c r="K29" s="81"/>
      <c r="L29" s="81"/>
      <c r="M29" s="81"/>
      <c r="N29" s="81"/>
      <c r="O29" s="81"/>
      <c r="P29" s="81"/>
      <c r="Q29" s="81"/>
      <c r="R29" s="81"/>
      <c r="S29" s="81"/>
      <c r="T29" s="81"/>
      <c r="U29" s="82">
        <f t="shared" si="1"/>
        <v>0</v>
      </c>
      <c r="V29" s="82"/>
      <c r="W29" s="82"/>
      <c r="X29" s="82"/>
      <c r="Y29" s="106">
        <f t="shared" si="2"/>
        <v>28</v>
      </c>
    </row>
    <row r="30" spans="1:25" s="70" customFormat="1" ht="14.25" customHeight="1">
      <c r="A30" s="434"/>
      <c r="B30" s="89" t="s">
        <v>373</v>
      </c>
      <c r="C30" s="433"/>
      <c r="D30" s="86">
        <f>44*1</f>
        <v>44</v>
      </c>
      <c r="E30" s="81"/>
      <c r="F30" s="82"/>
      <c r="G30" s="81"/>
      <c r="H30" s="81"/>
      <c r="I30" s="81"/>
      <c r="J30" s="82">
        <f t="shared" si="0"/>
        <v>44</v>
      </c>
      <c r="K30" s="81"/>
      <c r="L30" s="81"/>
      <c r="M30" s="81"/>
      <c r="N30" s="81"/>
      <c r="O30" s="81"/>
      <c r="P30" s="81"/>
      <c r="Q30" s="81"/>
      <c r="R30" s="81"/>
      <c r="S30" s="81"/>
      <c r="T30" s="81"/>
      <c r="U30" s="82">
        <f t="shared" si="1"/>
        <v>0</v>
      </c>
      <c r="V30" s="82"/>
      <c r="W30" s="82"/>
      <c r="X30" s="82"/>
      <c r="Y30" s="106">
        <f t="shared" si="2"/>
        <v>44</v>
      </c>
    </row>
    <row r="31" spans="1:25" s="70" customFormat="1" ht="14.25" customHeight="1">
      <c r="A31" s="432" t="s">
        <v>374</v>
      </c>
      <c r="B31" s="82" t="s">
        <v>375</v>
      </c>
      <c r="C31" s="82" t="s">
        <v>84</v>
      </c>
      <c r="D31" s="86">
        <f>161*1</f>
        <v>161</v>
      </c>
      <c r="E31" s="81"/>
      <c r="F31" s="82"/>
      <c r="G31" s="81"/>
      <c r="H31" s="81"/>
      <c r="I31" s="81"/>
      <c r="J31" s="82">
        <f t="shared" si="0"/>
        <v>161</v>
      </c>
      <c r="K31" s="81"/>
      <c r="L31" s="81"/>
      <c r="M31" s="81"/>
      <c r="N31" s="81"/>
      <c r="O31" s="81"/>
      <c r="P31" s="81"/>
      <c r="Q31" s="81"/>
      <c r="R31" s="81"/>
      <c r="S31" s="81"/>
      <c r="T31" s="81"/>
      <c r="U31" s="82">
        <f t="shared" si="1"/>
        <v>0</v>
      </c>
      <c r="V31" s="82"/>
      <c r="W31" s="82"/>
      <c r="X31" s="82"/>
      <c r="Y31" s="106">
        <f t="shared" si="2"/>
        <v>161</v>
      </c>
    </row>
    <row r="32" spans="1:25" s="70" customFormat="1" ht="14.25" customHeight="1">
      <c r="A32" s="432" t="s">
        <v>374</v>
      </c>
      <c r="B32" s="82" t="s">
        <v>376</v>
      </c>
      <c r="C32" s="82" t="s">
        <v>84</v>
      </c>
      <c r="D32" s="82">
        <f>299*1</f>
        <v>299</v>
      </c>
      <c r="E32" s="81"/>
      <c r="F32" s="82"/>
      <c r="G32" s="81"/>
      <c r="H32" s="81"/>
      <c r="I32" s="81"/>
      <c r="J32" s="82">
        <f t="shared" si="0"/>
        <v>299</v>
      </c>
      <c r="K32" s="81"/>
      <c r="L32" s="81"/>
      <c r="M32" s="81"/>
      <c r="N32" s="81"/>
      <c r="O32" s="81"/>
      <c r="P32" s="81"/>
      <c r="Q32" s="81"/>
      <c r="R32" s="81"/>
      <c r="S32" s="81"/>
      <c r="T32" s="81"/>
      <c r="U32" s="82">
        <f t="shared" si="1"/>
        <v>0</v>
      </c>
      <c r="V32" s="82"/>
      <c r="W32" s="82"/>
      <c r="X32" s="82"/>
      <c r="Y32" s="106">
        <f t="shared" si="2"/>
        <v>299</v>
      </c>
    </row>
    <row r="33" spans="1:25" s="73" customFormat="1" ht="14.25" customHeight="1">
      <c r="A33" s="90" t="s">
        <v>377</v>
      </c>
      <c r="B33" s="81"/>
      <c r="C33" s="81" t="s">
        <v>84</v>
      </c>
      <c r="D33" s="81"/>
      <c r="E33" s="81"/>
      <c r="F33" s="82"/>
      <c r="G33" s="81"/>
      <c r="H33" s="81"/>
      <c r="I33" s="86">
        <f>53*1*2*4</f>
        <v>424</v>
      </c>
      <c r="J33" s="82">
        <f t="shared" si="0"/>
        <v>424</v>
      </c>
      <c r="K33" s="81"/>
      <c r="L33" s="81"/>
      <c r="M33" s="81"/>
      <c r="N33" s="81"/>
      <c r="O33" s="82"/>
      <c r="P33" s="82"/>
      <c r="Q33" s="82"/>
      <c r="R33" s="82"/>
      <c r="S33" s="82"/>
      <c r="T33" s="82"/>
      <c r="U33" s="82">
        <f t="shared" si="1"/>
        <v>0</v>
      </c>
      <c r="V33" s="82"/>
      <c r="W33" s="82"/>
      <c r="X33" s="82"/>
      <c r="Y33" s="106">
        <f t="shared" si="2"/>
        <v>424</v>
      </c>
    </row>
    <row r="34" spans="1:25" s="73" customFormat="1" ht="14.25" customHeight="1">
      <c r="A34" s="90" t="s">
        <v>355</v>
      </c>
      <c r="B34" s="81" t="s">
        <v>378</v>
      </c>
      <c r="C34" s="81" t="s">
        <v>84</v>
      </c>
      <c r="D34" s="81"/>
      <c r="E34" s="81"/>
      <c r="F34" s="82"/>
      <c r="G34" s="81"/>
      <c r="H34" s="81"/>
      <c r="I34" s="86"/>
      <c r="J34" s="82">
        <f t="shared" si="0"/>
        <v>0</v>
      </c>
      <c r="K34" s="81"/>
      <c r="L34" s="81"/>
      <c r="M34" s="81"/>
      <c r="N34" s="82"/>
      <c r="O34" s="82"/>
      <c r="P34" s="82"/>
      <c r="Q34" s="82"/>
      <c r="R34" s="82"/>
      <c r="S34" s="82">
        <f>2*6</f>
        <v>12</v>
      </c>
      <c r="T34" s="82"/>
      <c r="U34" s="82">
        <f t="shared" si="1"/>
        <v>12</v>
      </c>
      <c r="V34" s="82"/>
      <c r="W34" s="82"/>
      <c r="X34" s="82"/>
      <c r="Y34" s="106">
        <f t="shared" si="2"/>
        <v>12</v>
      </c>
    </row>
    <row r="35" spans="1:25" s="73" customFormat="1" ht="14.25" customHeight="1">
      <c r="A35" s="90" t="s">
        <v>367</v>
      </c>
      <c r="B35" s="81" t="s">
        <v>379</v>
      </c>
      <c r="C35" s="81" t="s">
        <v>84</v>
      </c>
      <c r="D35" s="81"/>
      <c r="E35" s="81"/>
      <c r="F35" s="82"/>
      <c r="G35" s="81"/>
      <c r="H35" s="81"/>
      <c r="I35" s="86"/>
      <c r="J35" s="82">
        <f t="shared" si="0"/>
        <v>0</v>
      </c>
      <c r="K35" s="81"/>
      <c r="L35" s="81"/>
      <c r="M35" s="81"/>
      <c r="N35" s="82"/>
      <c r="O35" s="82"/>
      <c r="P35" s="82"/>
      <c r="Q35" s="82"/>
      <c r="R35" s="82"/>
      <c r="S35" s="82">
        <f>2*39.1</f>
        <v>78.2</v>
      </c>
      <c r="T35" s="82"/>
      <c r="U35" s="82">
        <f t="shared" si="1"/>
        <v>78.2</v>
      </c>
      <c r="V35" s="82"/>
      <c r="W35" s="82"/>
      <c r="X35" s="82"/>
      <c r="Y35" s="106">
        <f t="shared" si="2"/>
        <v>78.2</v>
      </c>
    </row>
    <row r="36" spans="1:25" s="73" customFormat="1" ht="14.25" customHeight="1">
      <c r="A36" s="90" t="s">
        <v>367</v>
      </c>
      <c r="B36" s="81" t="s">
        <v>380</v>
      </c>
      <c r="C36" s="81" t="s">
        <v>84</v>
      </c>
      <c r="D36" s="81"/>
      <c r="E36" s="81"/>
      <c r="F36" s="82"/>
      <c r="G36" s="81"/>
      <c r="H36" s="81"/>
      <c r="I36" s="86"/>
      <c r="J36" s="82">
        <f t="shared" si="0"/>
        <v>0</v>
      </c>
      <c r="K36" s="81"/>
      <c r="L36" s="81"/>
      <c r="M36" s="81"/>
      <c r="N36" s="82"/>
      <c r="O36" s="82"/>
      <c r="P36" s="82"/>
      <c r="Q36" s="82"/>
      <c r="R36" s="82"/>
      <c r="S36" s="82">
        <f>2*1136</f>
        <v>2272</v>
      </c>
      <c r="T36" s="82"/>
      <c r="U36" s="82">
        <f t="shared" si="1"/>
        <v>2272</v>
      </c>
      <c r="V36" s="82"/>
      <c r="W36" s="82"/>
      <c r="X36" s="82"/>
      <c r="Y36" s="106">
        <f t="shared" si="2"/>
        <v>2272</v>
      </c>
    </row>
    <row r="37" spans="1:25" s="73" customFormat="1" ht="14.25" customHeight="1">
      <c r="A37" s="90" t="s">
        <v>381</v>
      </c>
      <c r="B37" s="81" t="s">
        <v>382</v>
      </c>
      <c r="C37" s="81" t="s">
        <v>340</v>
      </c>
      <c r="D37" s="81"/>
      <c r="E37" s="81"/>
      <c r="F37" s="82"/>
      <c r="G37" s="81"/>
      <c r="H37" s="81"/>
      <c r="I37" s="81"/>
      <c r="J37" s="82">
        <f t="shared" si="0"/>
        <v>0</v>
      </c>
      <c r="K37" s="81"/>
      <c r="L37" s="81"/>
      <c r="M37" s="81"/>
      <c r="N37" s="81"/>
      <c r="O37" s="82"/>
      <c r="P37" s="82"/>
      <c r="Q37" s="82"/>
      <c r="R37" s="82"/>
      <c r="S37" s="82"/>
      <c r="T37" s="82">
        <f>50.8+45.81+11.22+86</f>
        <v>193.82999999999998</v>
      </c>
      <c r="U37" s="82">
        <f t="shared" si="1"/>
        <v>193.82999999999998</v>
      </c>
      <c r="V37" s="82"/>
      <c r="W37" s="82"/>
      <c r="X37" s="82"/>
      <c r="Y37" s="106">
        <f t="shared" si="2"/>
        <v>193.82999999999998</v>
      </c>
    </row>
    <row r="38" spans="1:25" s="73" customFormat="1" ht="14.25" customHeight="1">
      <c r="A38" s="90" t="s">
        <v>383</v>
      </c>
      <c r="B38" s="81" t="s">
        <v>384</v>
      </c>
      <c r="C38" s="81" t="s">
        <v>349</v>
      </c>
      <c r="D38" s="81"/>
      <c r="E38" s="81"/>
      <c r="F38" s="82"/>
      <c r="G38" s="81"/>
      <c r="H38" s="81"/>
      <c r="I38" s="81"/>
      <c r="J38" s="82">
        <f t="shared" si="0"/>
        <v>0</v>
      </c>
      <c r="K38" s="81"/>
      <c r="L38" s="81"/>
      <c r="M38" s="81"/>
      <c r="N38" s="81"/>
      <c r="O38" s="82"/>
      <c r="P38" s="82"/>
      <c r="Q38" s="82"/>
      <c r="R38" s="82"/>
      <c r="S38" s="82"/>
      <c r="T38" s="82">
        <f>186.25+80</f>
        <v>266.25</v>
      </c>
      <c r="U38" s="82">
        <f t="shared" si="1"/>
        <v>266.25</v>
      </c>
      <c r="V38" s="82"/>
      <c r="W38" s="82"/>
      <c r="X38" s="82"/>
      <c r="Y38" s="106">
        <f t="shared" si="2"/>
        <v>266.25</v>
      </c>
    </row>
    <row r="39" spans="1:25" s="73" customFormat="1" ht="14.25" customHeight="1">
      <c r="A39" s="90" t="s">
        <v>385</v>
      </c>
      <c r="B39" s="91"/>
      <c r="C39" s="81" t="s">
        <v>340</v>
      </c>
      <c r="D39" s="81"/>
      <c r="E39" s="81"/>
      <c r="F39" s="82"/>
      <c r="G39" s="81"/>
      <c r="H39" s="81"/>
      <c r="I39" s="81"/>
      <c r="J39" s="82">
        <f t="shared" si="0"/>
        <v>0</v>
      </c>
      <c r="K39" s="81"/>
      <c r="L39" s="81"/>
      <c r="M39" s="81"/>
      <c r="N39" s="81"/>
      <c r="O39" s="82"/>
      <c r="P39" s="82"/>
      <c r="Q39" s="82"/>
      <c r="R39" s="82"/>
      <c r="S39" s="82"/>
      <c r="T39" s="82">
        <v>16.93</v>
      </c>
      <c r="U39" s="82">
        <f t="shared" si="1"/>
        <v>16.93</v>
      </c>
      <c r="V39" s="82"/>
      <c r="W39" s="82"/>
      <c r="X39" s="82"/>
      <c r="Y39" s="106">
        <f t="shared" si="2"/>
        <v>16.93</v>
      </c>
    </row>
    <row r="40" spans="1:25" s="73" customFormat="1" ht="14.25" customHeight="1">
      <c r="A40" s="90" t="s">
        <v>386</v>
      </c>
      <c r="B40" s="88" t="s">
        <v>387</v>
      </c>
      <c r="C40" s="81" t="s">
        <v>340</v>
      </c>
      <c r="D40" s="81"/>
      <c r="E40" s="81"/>
      <c r="F40" s="82"/>
      <c r="G40" s="81"/>
      <c r="H40" s="81"/>
      <c r="I40" s="81"/>
      <c r="J40" s="82">
        <f t="shared" si="0"/>
        <v>0</v>
      </c>
      <c r="K40" s="81"/>
      <c r="L40" s="81"/>
      <c r="M40" s="81"/>
      <c r="N40" s="81"/>
      <c r="O40" s="81"/>
      <c r="P40" s="81"/>
      <c r="Q40" s="81"/>
      <c r="R40" s="82"/>
      <c r="S40" s="82"/>
      <c r="T40" s="82">
        <v>193.61</v>
      </c>
      <c r="U40" s="82">
        <f t="shared" si="1"/>
        <v>193.61</v>
      </c>
      <c r="V40" s="82"/>
      <c r="W40" s="82"/>
      <c r="X40" s="82"/>
      <c r="Y40" s="106">
        <f t="shared" si="2"/>
        <v>193.61</v>
      </c>
    </row>
    <row r="41" spans="1:25" s="73" customFormat="1" ht="14.25" customHeight="1">
      <c r="A41" s="90" t="s">
        <v>388</v>
      </c>
      <c r="B41" s="81"/>
      <c r="C41" s="81" t="s">
        <v>340</v>
      </c>
      <c r="D41" s="81"/>
      <c r="E41" s="81"/>
      <c r="F41" s="82"/>
      <c r="G41" s="81"/>
      <c r="H41" s="81"/>
      <c r="I41" s="81"/>
      <c r="J41" s="82">
        <f t="shared" si="0"/>
        <v>0</v>
      </c>
      <c r="K41" s="81"/>
      <c r="L41" s="81"/>
      <c r="M41" s="81"/>
      <c r="N41" s="81"/>
      <c r="O41" s="81"/>
      <c r="P41" s="81"/>
      <c r="Q41" s="81"/>
      <c r="R41" s="82"/>
      <c r="S41" s="82"/>
      <c r="T41" s="82"/>
      <c r="U41" s="82">
        <f t="shared" si="1"/>
        <v>0</v>
      </c>
      <c r="V41" s="82"/>
      <c r="W41" s="82"/>
      <c r="X41" s="82"/>
      <c r="Y41" s="106">
        <f t="shared" si="2"/>
        <v>0</v>
      </c>
    </row>
    <row r="42" spans="1:25" s="73" customFormat="1" ht="14.25" customHeight="1">
      <c r="A42" s="90" t="s">
        <v>389</v>
      </c>
      <c r="B42" s="88" t="s">
        <v>390</v>
      </c>
      <c r="C42" s="81" t="s">
        <v>340</v>
      </c>
      <c r="D42" s="81"/>
      <c r="E42" s="81"/>
      <c r="F42" s="82"/>
      <c r="G42" s="81"/>
      <c r="H42" s="81"/>
      <c r="I42" s="82"/>
      <c r="J42" s="82">
        <f t="shared" si="0"/>
        <v>0</v>
      </c>
      <c r="K42" s="81"/>
      <c r="L42" s="81"/>
      <c r="M42" s="82"/>
      <c r="N42" s="82"/>
      <c r="O42" s="82"/>
      <c r="P42" s="82"/>
      <c r="Q42" s="82"/>
      <c r="R42" s="82">
        <f>2*12*10*3</f>
        <v>720</v>
      </c>
      <c r="S42" s="82"/>
      <c r="T42" s="86">
        <f>12*5*8*2+85</f>
        <v>1045</v>
      </c>
      <c r="U42" s="82">
        <f t="shared" si="1"/>
        <v>1765</v>
      </c>
      <c r="V42" s="82"/>
      <c r="W42" s="82"/>
      <c r="X42" s="82"/>
      <c r="Y42" s="106">
        <f t="shared" si="2"/>
        <v>1765</v>
      </c>
    </row>
    <row r="43" spans="1:25" s="70" customFormat="1" ht="14.25" customHeight="1">
      <c r="A43" s="90" t="s">
        <v>391</v>
      </c>
      <c r="B43" s="81"/>
      <c r="C43" s="81" t="s">
        <v>340</v>
      </c>
      <c r="D43" s="81"/>
      <c r="E43" s="81"/>
      <c r="F43" s="82"/>
      <c r="G43" s="81"/>
      <c r="H43" s="81"/>
      <c r="I43" s="82"/>
      <c r="J43" s="82">
        <f t="shared" si="0"/>
        <v>0</v>
      </c>
      <c r="K43" s="81"/>
      <c r="L43" s="81"/>
      <c r="M43" s="81"/>
      <c r="N43" s="82"/>
      <c r="O43" s="82"/>
      <c r="P43" s="82"/>
      <c r="Q43" s="82"/>
      <c r="R43" s="82"/>
      <c r="S43" s="82"/>
      <c r="T43" s="82"/>
      <c r="U43" s="82">
        <f t="shared" si="1"/>
        <v>0</v>
      </c>
      <c r="V43" s="82"/>
      <c r="W43" s="82">
        <f>20*0.5*2*1</f>
        <v>20</v>
      </c>
      <c r="X43" s="82"/>
      <c r="Y43" s="106">
        <f t="shared" si="2"/>
        <v>20</v>
      </c>
    </row>
    <row r="44" spans="1:25" s="70" customFormat="1" ht="14.25" customHeight="1">
      <c r="A44" s="90" t="s">
        <v>392</v>
      </c>
      <c r="B44" s="81"/>
      <c r="C44" s="81" t="s">
        <v>340</v>
      </c>
      <c r="D44" s="81"/>
      <c r="E44" s="81"/>
      <c r="F44" s="82"/>
      <c r="G44" s="81"/>
      <c r="H44" s="81"/>
      <c r="I44" s="82"/>
      <c r="J44" s="82">
        <f t="shared" si="0"/>
        <v>0</v>
      </c>
      <c r="K44" s="81"/>
      <c r="L44" s="81"/>
      <c r="M44" s="81"/>
      <c r="N44" s="81"/>
      <c r="O44" s="81"/>
      <c r="P44" s="81"/>
      <c r="Q44" s="81"/>
      <c r="R44" s="82"/>
      <c r="S44" s="82"/>
      <c r="T44" s="82"/>
      <c r="U44" s="82">
        <f t="shared" si="1"/>
        <v>0</v>
      </c>
      <c r="V44" s="82"/>
      <c r="W44" s="82">
        <f>10*1*12+12*5*3*2</f>
        <v>480</v>
      </c>
      <c r="X44" s="82"/>
      <c r="Y44" s="106">
        <f t="shared" si="2"/>
        <v>480</v>
      </c>
    </row>
    <row r="45" spans="1:25" s="70" customFormat="1" ht="14.25" customHeight="1">
      <c r="A45" s="90" t="s">
        <v>284</v>
      </c>
      <c r="B45" s="81"/>
      <c r="C45" s="81" t="s">
        <v>349</v>
      </c>
      <c r="D45" s="81"/>
      <c r="E45" s="81"/>
      <c r="F45" s="82"/>
      <c r="G45" s="81"/>
      <c r="H45" s="81"/>
      <c r="I45" s="82"/>
      <c r="J45" s="82"/>
      <c r="K45" s="81"/>
      <c r="L45" s="81"/>
      <c r="M45" s="81"/>
      <c r="N45" s="81"/>
      <c r="O45" s="81"/>
      <c r="P45" s="81"/>
      <c r="Q45" s="81"/>
      <c r="R45" s="82"/>
      <c r="S45" s="82"/>
      <c r="T45" s="82"/>
      <c r="U45" s="82"/>
      <c r="V45" s="82"/>
      <c r="W45" s="82"/>
      <c r="X45" s="82">
        <v>642</v>
      </c>
      <c r="Y45" s="106">
        <f>J45+U45+V45+W45+X45</f>
        <v>642</v>
      </c>
    </row>
    <row r="46" spans="1:25" s="70" customFormat="1" ht="14.25" customHeight="1">
      <c r="A46" s="92" t="s">
        <v>285</v>
      </c>
      <c r="B46" s="93"/>
      <c r="C46" s="93" t="s">
        <v>340</v>
      </c>
      <c r="D46" s="93"/>
      <c r="E46" s="93"/>
      <c r="F46" s="94"/>
      <c r="G46" s="93"/>
      <c r="H46" s="93"/>
      <c r="I46" s="94"/>
      <c r="J46" s="94"/>
      <c r="K46" s="93"/>
      <c r="L46" s="93"/>
      <c r="M46" s="93"/>
      <c r="N46" s="93"/>
      <c r="O46" s="93"/>
      <c r="P46" s="93"/>
      <c r="Q46" s="93"/>
      <c r="R46" s="94"/>
      <c r="S46" s="94"/>
      <c r="T46" s="94"/>
      <c r="U46" s="94"/>
      <c r="V46" s="94"/>
      <c r="W46" s="94"/>
      <c r="X46" s="94">
        <v>1377</v>
      </c>
      <c r="Y46" s="106">
        <f>J46+U46+V46+W46+X46</f>
        <v>1377</v>
      </c>
    </row>
    <row r="47" spans="1:25" s="73" customFormat="1" ht="19.5" customHeight="1">
      <c r="A47" s="95"/>
      <c r="B47" s="96"/>
      <c r="C47" s="95"/>
      <c r="D47" s="95"/>
      <c r="E47" s="95"/>
      <c r="F47" s="96"/>
      <c r="G47" s="95"/>
      <c r="H47" s="95"/>
      <c r="I47" s="95"/>
      <c r="J47" s="96"/>
      <c r="K47" s="95"/>
      <c r="L47" s="95"/>
      <c r="M47" s="95"/>
      <c r="N47" s="95"/>
      <c r="O47" s="95"/>
      <c r="P47" s="95"/>
      <c r="Q47" s="95"/>
      <c r="R47" s="95"/>
      <c r="S47" s="96"/>
      <c r="T47" s="95"/>
      <c r="U47" s="95"/>
      <c r="V47" s="96"/>
      <c r="W47" s="96"/>
      <c r="X47" s="96"/>
      <c r="Y47" s="107"/>
    </row>
    <row r="48" spans="1:25" s="74" customFormat="1" ht="19.5" customHeight="1">
      <c r="A48" s="97"/>
      <c r="B48" s="98"/>
      <c r="C48" s="98"/>
      <c r="D48" s="97"/>
      <c r="E48" s="98"/>
      <c r="F48" s="99"/>
      <c r="G48" s="100"/>
      <c r="H48" s="100"/>
      <c r="I48" s="98"/>
      <c r="J48" s="96"/>
      <c r="K48" s="98"/>
      <c r="L48" s="100"/>
      <c r="M48" s="100"/>
      <c r="N48" s="100"/>
      <c r="O48" s="103"/>
      <c r="P48" s="103"/>
      <c r="Q48" s="103"/>
      <c r="R48" s="104"/>
      <c r="S48" s="104"/>
      <c r="T48" s="104"/>
      <c r="U48" s="103"/>
      <c r="V48" s="103"/>
      <c r="W48" s="103"/>
      <c r="X48" s="103"/>
      <c r="Y48" s="108"/>
    </row>
    <row r="49" spans="6:25" s="74" customFormat="1" ht="19.5" customHeight="1">
      <c r="F49" s="99"/>
      <c r="G49" s="101"/>
      <c r="H49" s="101"/>
      <c r="I49" s="101"/>
      <c r="K49" s="101"/>
      <c r="L49" s="101"/>
      <c r="M49" s="101"/>
      <c r="N49" s="101"/>
      <c r="O49" s="101"/>
      <c r="P49" s="101"/>
      <c r="Q49" s="101"/>
      <c r="R49" s="101"/>
      <c r="S49" s="101"/>
      <c r="T49" s="101"/>
      <c r="U49" s="101"/>
      <c r="V49" s="101"/>
      <c r="W49" s="101"/>
      <c r="X49" s="101"/>
      <c r="Y49" s="109"/>
    </row>
    <row r="50" spans="6:25" s="74" customFormat="1" ht="19.5" customHeight="1">
      <c r="F50" s="99"/>
      <c r="G50" s="101"/>
      <c r="H50" s="101"/>
      <c r="I50" s="101"/>
      <c r="K50" s="101"/>
      <c r="L50" s="101"/>
      <c r="M50" s="101"/>
      <c r="N50" s="101"/>
      <c r="O50" s="101"/>
      <c r="P50" s="101"/>
      <c r="Q50" s="101"/>
      <c r="R50" s="101"/>
      <c r="S50" s="101"/>
      <c r="T50" s="101"/>
      <c r="U50" s="101"/>
      <c r="V50" s="101"/>
      <c r="W50" s="101"/>
      <c r="X50" s="101"/>
      <c r="Y50" s="73"/>
    </row>
    <row r="51" spans="6:25" s="74" customFormat="1" ht="19.5" customHeight="1">
      <c r="F51" s="102"/>
      <c r="G51" s="101"/>
      <c r="H51" s="101"/>
      <c r="I51" s="101"/>
      <c r="K51" s="101"/>
      <c r="L51" s="101"/>
      <c r="M51" s="101"/>
      <c r="N51" s="101"/>
      <c r="O51" s="101"/>
      <c r="P51" s="101"/>
      <c r="Q51" s="101"/>
      <c r="R51" s="101"/>
      <c r="S51" s="101"/>
      <c r="T51" s="101"/>
      <c r="U51" s="101"/>
      <c r="V51" s="101"/>
      <c r="W51" s="101"/>
      <c r="X51" s="101"/>
      <c r="Y51" s="73"/>
    </row>
    <row r="52" spans="6:25" s="74" customFormat="1" ht="19.5" customHeight="1">
      <c r="F52" s="101"/>
      <c r="G52" s="101"/>
      <c r="H52" s="101"/>
      <c r="I52" s="101"/>
      <c r="K52" s="101"/>
      <c r="L52" s="101"/>
      <c r="M52" s="101"/>
      <c r="N52" s="101"/>
      <c r="O52" s="101"/>
      <c r="P52" s="101"/>
      <c r="Q52" s="101"/>
      <c r="R52" s="101"/>
      <c r="S52" s="101"/>
      <c r="T52" s="101"/>
      <c r="U52" s="101"/>
      <c r="V52" s="101"/>
      <c r="W52" s="101"/>
      <c r="X52" s="101"/>
      <c r="Y52" s="73"/>
    </row>
    <row r="53" spans="6:25" s="74" customFormat="1" ht="19.5" customHeight="1">
      <c r="F53" s="101"/>
      <c r="G53" s="101"/>
      <c r="H53" s="101"/>
      <c r="I53" s="101"/>
      <c r="K53" s="101"/>
      <c r="L53" s="101"/>
      <c r="M53" s="101"/>
      <c r="N53" s="101"/>
      <c r="O53" s="101"/>
      <c r="P53" s="101"/>
      <c r="Q53" s="101"/>
      <c r="R53" s="101"/>
      <c r="S53" s="101"/>
      <c r="T53" s="101"/>
      <c r="U53" s="101"/>
      <c r="V53" s="101"/>
      <c r="W53" s="101"/>
      <c r="X53" s="101"/>
      <c r="Y53" s="73"/>
    </row>
    <row r="54" spans="6:25" s="74" customFormat="1" ht="19.5" customHeight="1">
      <c r="F54" s="101"/>
      <c r="G54" s="101"/>
      <c r="H54" s="101"/>
      <c r="I54" s="101"/>
      <c r="K54" s="101"/>
      <c r="L54" s="101"/>
      <c r="M54" s="101"/>
      <c r="N54" s="101"/>
      <c r="O54" s="101"/>
      <c r="P54" s="101"/>
      <c r="Q54" s="101"/>
      <c r="R54" s="101"/>
      <c r="S54" s="101"/>
      <c r="T54" s="101"/>
      <c r="U54" s="101"/>
      <c r="V54" s="101"/>
      <c r="W54" s="101"/>
      <c r="X54" s="101"/>
      <c r="Y54" s="73"/>
    </row>
    <row r="55" spans="6:25" s="74" customFormat="1" ht="19.5" customHeight="1">
      <c r="F55" s="101"/>
      <c r="G55" s="101"/>
      <c r="H55" s="101"/>
      <c r="I55" s="101"/>
      <c r="K55" s="101"/>
      <c r="L55" s="101"/>
      <c r="M55" s="101"/>
      <c r="N55" s="101"/>
      <c r="O55" s="101"/>
      <c r="P55" s="101"/>
      <c r="Q55" s="101"/>
      <c r="R55" s="101"/>
      <c r="S55" s="101"/>
      <c r="T55" s="101"/>
      <c r="U55" s="101"/>
      <c r="V55" s="101"/>
      <c r="W55" s="101"/>
      <c r="X55" s="101"/>
      <c r="Y55" s="73"/>
    </row>
    <row r="56" spans="6:25" s="74" customFormat="1" ht="19.5" customHeight="1">
      <c r="F56" s="101"/>
      <c r="G56" s="101"/>
      <c r="H56" s="101"/>
      <c r="I56" s="101"/>
      <c r="K56" s="101"/>
      <c r="L56" s="101"/>
      <c r="M56" s="101"/>
      <c r="N56" s="101"/>
      <c r="O56" s="101"/>
      <c r="P56" s="101"/>
      <c r="Q56" s="101"/>
      <c r="R56" s="101"/>
      <c r="S56" s="101"/>
      <c r="T56" s="101"/>
      <c r="U56" s="101"/>
      <c r="V56" s="101"/>
      <c r="W56" s="101"/>
      <c r="X56" s="101"/>
      <c r="Y56" s="73"/>
    </row>
    <row r="57" spans="6:25" s="74" customFormat="1" ht="19.5" customHeight="1">
      <c r="F57" s="101"/>
      <c r="G57" s="101"/>
      <c r="H57" s="101"/>
      <c r="I57" s="101"/>
      <c r="K57" s="101"/>
      <c r="L57" s="101"/>
      <c r="M57" s="101"/>
      <c r="N57" s="101"/>
      <c r="O57" s="101"/>
      <c r="P57" s="101"/>
      <c r="Q57" s="101"/>
      <c r="R57" s="101"/>
      <c r="S57" s="101"/>
      <c r="T57" s="101"/>
      <c r="U57" s="101"/>
      <c r="V57" s="101"/>
      <c r="W57" s="101"/>
      <c r="X57" s="101"/>
      <c r="Y57" s="73"/>
    </row>
    <row r="58" spans="6:25" s="74" customFormat="1" ht="19.5" customHeight="1">
      <c r="F58" s="101"/>
      <c r="G58" s="101"/>
      <c r="H58" s="101"/>
      <c r="I58" s="101"/>
      <c r="K58" s="101"/>
      <c r="L58" s="101"/>
      <c r="M58" s="101"/>
      <c r="N58" s="101"/>
      <c r="O58" s="101"/>
      <c r="P58" s="101"/>
      <c r="Q58" s="101"/>
      <c r="R58" s="101"/>
      <c r="S58" s="101"/>
      <c r="T58" s="101"/>
      <c r="U58" s="101"/>
      <c r="V58" s="101"/>
      <c r="W58" s="101"/>
      <c r="X58" s="101"/>
      <c r="Y58" s="73"/>
    </row>
    <row r="59" spans="6:25" s="74" customFormat="1" ht="19.5" customHeight="1">
      <c r="F59" s="101"/>
      <c r="G59" s="101"/>
      <c r="H59" s="101"/>
      <c r="I59" s="101"/>
      <c r="K59" s="101"/>
      <c r="L59" s="101"/>
      <c r="M59" s="101"/>
      <c r="N59" s="101"/>
      <c r="O59" s="101"/>
      <c r="P59" s="101"/>
      <c r="Q59" s="101"/>
      <c r="R59" s="101"/>
      <c r="S59" s="101"/>
      <c r="T59" s="101"/>
      <c r="U59" s="101"/>
      <c r="V59" s="101"/>
      <c r="W59" s="101"/>
      <c r="X59" s="101"/>
      <c r="Y59" s="73"/>
    </row>
    <row r="60" spans="6:25" s="74" customFormat="1" ht="19.5" customHeight="1">
      <c r="F60" s="101"/>
      <c r="G60" s="101"/>
      <c r="H60" s="101"/>
      <c r="I60" s="101"/>
      <c r="K60" s="101"/>
      <c r="L60" s="101"/>
      <c r="M60" s="101"/>
      <c r="N60" s="101"/>
      <c r="O60" s="101"/>
      <c r="P60" s="101"/>
      <c r="Q60" s="101"/>
      <c r="R60" s="101"/>
      <c r="S60" s="101"/>
      <c r="T60" s="101"/>
      <c r="U60" s="101"/>
      <c r="V60" s="101"/>
      <c r="W60" s="101"/>
      <c r="X60" s="101"/>
      <c r="Y60" s="73"/>
    </row>
    <row r="61" spans="6:25" s="74" customFormat="1" ht="19.5" customHeight="1">
      <c r="F61" s="101"/>
      <c r="G61" s="101"/>
      <c r="H61" s="101"/>
      <c r="I61" s="101"/>
      <c r="K61" s="101"/>
      <c r="L61" s="101"/>
      <c r="M61" s="101"/>
      <c r="N61" s="101"/>
      <c r="O61" s="101"/>
      <c r="P61" s="101"/>
      <c r="Q61" s="101"/>
      <c r="R61" s="101"/>
      <c r="S61" s="101"/>
      <c r="T61" s="101"/>
      <c r="U61" s="101"/>
      <c r="V61" s="101"/>
      <c r="W61" s="101"/>
      <c r="X61" s="101"/>
      <c r="Y61" s="73"/>
    </row>
    <row r="62" ht="19.5" customHeight="1"/>
    <row r="63" ht="19.5" customHeight="1"/>
    <row r="64" ht="19.5" customHeight="1"/>
    <row r="65" ht="19.5" customHeight="1"/>
    <row r="66" ht="19.5" customHeight="1"/>
    <row r="67" ht="19.5" customHeight="1"/>
    <row r="68" ht="19.5" customHeight="1"/>
    <row r="69" ht="19.5" customHeight="1"/>
    <row r="70" ht="19.5" customHeight="1"/>
  </sheetData>
  <sheetProtection/>
  <mergeCells count="31">
    <mergeCell ref="U4:U5"/>
    <mergeCell ref="V3:V5"/>
    <mergeCell ref="W3:W5"/>
    <mergeCell ref="X3:X5"/>
    <mergeCell ref="Y3:Y5"/>
    <mergeCell ref="A23:A25"/>
    <mergeCell ref="A29:A30"/>
    <mergeCell ref="A31:A32"/>
    <mergeCell ref="B3:B5"/>
    <mergeCell ref="C3:C5"/>
    <mergeCell ref="C29:C30"/>
    <mergeCell ref="A13:B13"/>
    <mergeCell ref="A14:B14"/>
    <mergeCell ref="A15:B15"/>
    <mergeCell ref="A16:B16"/>
    <mergeCell ref="A28:B28"/>
    <mergeCell ref="A3:A5"/>
    <mergeCell ref="A6:A12"/>
    <mergeCell ref="A17:A18"/>
    <mergeCell ref="A19:A20"/>
    <mergeCell ref="A21:A22"/>
    <mergeCell ref="A1:Y1"/>
    <mergeCell ref="D3:J3"/>
    <mergeCell ref="K3:U3"/>
    <mergeCell ref="D4:E4"/>
    <mergeCell ref="F4:G4"/>
    <mergeCell ref="K4:N4"/>
    <mergeCell ref="O4:S4"/>
    <mergeCell ref="H4:H5"/>
    <mergeCell ref="I4:I5"/>
    <mergeCell ref="J4:J5"/>
  </mergeCells>
  <printOptions/>
  <pageMargins left="1.18" right="0.59" top="0.59" bottom="0.59" header="1.18" footer="0.39"/>
  <pageSetup horizontalDpi="300" verticalDpi="300" orientation="landscape" paperSize="8"/>
  <headerFooter alignWithMargins="0">
    <oddFooter>&amp;L&amp;"仿宋_GB2312,常规"施工单位：&amp;C                                                                                    
监理单位：                                                         代建单位：</oddFooter>
  </headerFooter>
</worksheet>
</file>

<file path=xl/worksheets/sheet13.xml><?xml version="1.0" encoding="utf-8"?>
<worksheet xmlns="http://schemas.openxmlformats.org/spreadsheetml/2006/main" xmlns:r="http://schemas.openxmlformats.org/officeDocument/2006/relationships">
  <dimension ref="A2:H13"/>
  <sheetViews>
    <sheetView zoomScalePageLayoutView="0" workbookViewId="0" topLeftCell="A4">
      <selection activeCell="C11" sqref="C11"/>
    </sheetView>
  </sheetViews>
  <sheetFormatPr defaultColWidth="9.00390625" defaultRowHeight="14.25"/>
  <cols>
    <col min="1" max="1" width="16.625" style="61" customWidth="1"/>
    <col min="2" max="2" width="14.375" style="62" customWidth="1"/>
    <col min="3" max="3" width="22.625" style="62" customWidth="1"/>
    <col min="4" max="4" width="27.875" style="62" customWidth="1"/>
    <col min="5" max="5" width="3.25390625" style="61" customWidth="1"/>
    <col min="6" max="6" width="8.625" style="63" customWidth="1"/>
    <col min="7" max="7" width="8.875" style="62" customWidth="1"/>
    <col min="8" max="8" width="8.875" style="61" customWidth="1"/>
    <col min="9" max="12" width="8.875" style="62" customWidth="1"/>
    <col min="13" max="16384" width="9.00390625" style="62" customWidth="1"/>
  </cols>
  <sheetData>
    <row r="1" ht="30.75" customHeight="1"/>
    <row r="2" spans="1:4" ht="30" customHeight="1">
      <c r="A2" s="445" t="e">
        <f>#REF!</f>
        <v>#REF!</v>
      </c>
      <c r="B2" s="445"/>
      <c r="C2" s="445"/>
      <c r="D2" s="445"/>
    </row>
    <row r="3" spans="1:4" ht="30" customHeight="1">
      <c r="A3" s="446" t="e">
        <f>#REF!</f>
        <v>#REF!</v>
      </c>
      <c r="B3" s="446"/>
      <c r="C3" s="446"/>
      <c r="D3" s="446"/>
    </row>
    <row r="4" ht="30" customHeight="1"/>
    <row r="5" ht="30" customHeight="1"/>
    <row r="6" spans="1:4" ht="96" customHeight="1">
      <c r="A6" s="447" t="s">
        <v>393</v>
      </c>
      <c r="B6" s="448"/>
      <c r="C6" s="448"/>
      <c r="D6" s="448"/>
    </row>
    <row r="7" spans="2:4" ht="42.75" customHeight="1">
      <c r="B7" s="64" t="s">
        <v>394</v>
      </c>
      <c r="C7" s="65" t="e">
        <f>#REF!</f>
        <v>#REF!</v>
      </c>
      <c r="D7" s="66" t="s">
        <v>395</v>
      </c>
    </row>
    <row r="8" ht="114" customHeight="1"/>
    <row r="9" spans="1:8" s="56" customFormat="1" ht="49.5" customHeight="1">
      <c r="A9" s="67"/>
      <c r="B9" s="68" t="s">
        <v>1</v>
      </c>
      <c r="C9" s="1" t="e">
        <f>#REF!</f>
        <v>#REF!</v>
      </c>
      <c r="D9" s="69"/>
      <c r="E9" s="55"/>
      <c r="F9" s="57"/>
      <c r="H9" s="55"/>
    </row>
    <row r="10" spans="1:8" s="56" customFormat="1" ht="49.5" customHeight="1">
      <c r="A10" s="67"/>
      <c r="B10" s="68" t="s">
        <v>3</v>
      </c>
      <c r="C10" s="1" t="e">
        <f>#REF!</f>
        <v>#REF!</v>
      </c>
      <c r="D10" s="69"/>
      <c r="E10" s="55"/>
      <c r="F10" s="57"/>
      <c r="H10" s="55"/>
    </row>
    <row r="11" spans="1:8" s="56" customFormat="1" ht="49.5" customHeight="1">
      <c r="A11" s="67"/>
      <c r="B11" s="68" t="s">
        <v>396</v>
      </c>
      <c r="C11" s="1" t="e">
        <f>#REF!</f>
        <v>#REF!</v>
      </c>
      <c r="D11" s="69"/>
      <c r="E11" s="55"/>
      <c r="F11" s="57"/>
      <c r="H11" s="55"/>
    </row>
    <row r="12" spans="1:8" s="56" customFormat="1" ht="49.5" customHeight="1">
      <c r="A12" s="67"/>
      <c r="B12" s="68" t="s">
        <v>397</v>
      </c>
      <c r="C12" s="1" t="e">
        <f>#REF!</f>
        <v>#REF!</v>
      </c>
      <c r="D12" s="69"/>
      <c r="E12" s="55"/>
      <c r="F12" s="57"/>
      <c r="H12" s="55"/>
    </row>
    <row r="13" spans="1:8" s="56" customFormat="1" ht="49.5" customHeight="1">
      <c r="A13" s="449" t="e">
        <f>#REF!</f>
        <v>#REF!</v>
      </c>
      <c r="B13" s="449"/>
      <c r="C13" s="449"/>
      <c r="D13" s="449"/>
      <c r="E13" s="55"/>
      <c r="F13" s="57"/>
      <c r="H13" s="55"/>
    </row>
  </sheetData>
  <sheetProtection selectLockedCells="1"/>
  <mergeCells count="4">
    <mergeCell ref="A2:D2"/>
    <mergeCell ref="A3:D3"/>
    <mergeCell ref="A6:D6"/>
    <mergeCell ref="A13:D13"/>
  </mergeCells>
  <printOptions horizontalCentered="1" verticalCentered="1"/>
  <pageMargins left="0.79" right="0.59" top="0.98" bottom="0.79" header="1.57" footer="0.35"/>
  <pageSetup horizontalDpi="600" verticalDpi="600" orientation="portrait" paperSize="9"/>
  <headerFooter alignWithMargins="0">
    <oddFooter xml:space="preserve">&amp;C                                         </oddFooter>
  </headerFooter>
</worksheet>
</file>

<file path=xl/worksheets/sheet14.xml><?xml version="1.0" encoding="utf-8"?>
<worksheet xmlns="http://schemas.openxmlformats.org/spreadsheetml/2006/main" xmlns:r="http://schemas.openxmlformats.org/officeDocument/2006/relationships">
  <dimension ref="A1:A14"/>
  <sheetViews>
    <sheetView zoomScalePageLayoutView="0" workbookViewId="0" topLeftCell="A1">
      <selection activeCell="C11" sqref="C11"/>
    </sheetView>
  </sheetViews>
  <sheetFormatPr defaultColWidth="9.00390625" defaultRowHeight="14.25"/>
  <cols>
    <col min="1" max="1" width="79.875" style="55" customWidth="1"/>
    <col min="2" max="2" width="7.875" style="56" customWidth="1"/>
    <col min="3" max="4" width="9.00390625" style="56" customWidth="1"/>
    <col min="5" max="5" width="9.00390625" style="55" customWidth="1"/>
    <col min="6" max="6" width="9.00390625" style="57" customWidth="1"/>
    <col min="7" max="7" width="9.00390625" style="56" customWidth="1"/>
    <col min="8" max="8" width="9.00390625" style="55" customWidth="1"/>
    <col min="9" max="16384" width="9.00390625" style="56" customWidth="1"/>
  </cols>
  <sheetData>
    <row r="1" ht="42.75" customHeight="1">
      <c r="A1" s="58" t="s">
        <v>398</v>
      </c>
    </row>
    <row r="3" ht="15">
      <c r="A3" s="59" t="s">
        <v>399</v>
      </c>
    </row>
    <row r="4" ht="15">
      <c r="A4" s="60"/>
    </row>
    <row r="5" ht="15">
      <c r="A5" s="60"/>
    </row>
    <row r="6" ht="15">
      <c r="A6" s="60"/>
    </row>
    <row r="7" ht="15">
      <c r="A7" s="60"/>
    </row>
    <row r="8" ht="15">
      <c r="A8" s="60"/>
    </row>
    <row r="9" ht="15">
      <c r="A9" s="60"/>
    </row>
    <row r="10" ht="15">
      <c r="A10" s="60"/>
    </row>
    <row r="11" ht="15">
      <c r="A11" s="60"/>
    </row>
    <row r="12" ht="15">
      <c r="A12" s="60"/>
    </row>
    <row r="13" ht="15">
      <c r="A13" s="60"/>
    </row>
    <row r="14" ht="15">
      <c r="A14" s="60"/>
    </row>
  </sheetData>
  <sheetProtection selectLockedCells="1"/>
  <printOptions horizontalCentered="1"/>
  <pageMargins left="0.98" right="0.59" top="0.79" bottom="0.79" header="1.57" footer="0.35"/>
  <pageSetup horizontalDpi="600" verticalDpi="600" orientation="portrait" paperSize="9"/>
  <headerFooter alignWithMargins="0">
    <oddFooter xml:space="preserve">&amp;C                                         </oddFooter>
  </headerFooter>
</worksheet>
</file>

<file path=xl/worksheets/sheet15.xml><?xml version="1.0" encoding="utf-8"?>
<worksheet xmlns="http://schemas.openxmlformats.org/spreadsheetml/2006/main" xmlns:r="http://schemas.openxmlformats.org/officeDocument/2006/relationships">
  <dimension ref="A1:J15"/>
  <sheetViews>
    <sheetView zoomScalePageLayoutView="0" workbookViewId="0" topLeftCell="A1">
      <selection activeCell="C11" sqref="C11"/>
    </sheetView>
  </sheetViews>
  <sheetFormatPr defaultColWidth="9.00390625" defaultRowHeight="14.25"/>
  <cols>
    <col min="1" max="1" width="6.50390625" style="48" customWidth="1"/>
    <col min="2" max="2" width="9.75390625" style="48" customWidth="1"/>
    <col min="3" max="3" width="21.125" style="48" customWidth="1"/>
    <col min="4" max="4" width="9.00390625" style="48" customWidth="1"/>
    <col min="5" max="5" width="10.25390625" style="48" customWidth="1"/>
    <col min="6" max="6" width="10.625" style="48" customWidth="1"/>
    <col min="7" max="7" width="10.25390625" style="48" customWidth="1"/>
    <col min="8" max="9" width="9.00390625" style="48" customWidth="1"/>
    <col min="10" max="10" width="30.25390625" style="48" customWidth="1"/>
    <col min="11" max="16384" width="9.00390625" style="48" customWidth="1"/>
  </cols>
  <sheetData>
    <row r="1" spans="1:10" ht="27.75">
      <c r="A1" s="450" t="s">
        <v>400</v>
      </c>
      <c r="B1" s="451"/>
      <c r="C1" s="451"/>
      <c r="D1" s="451"/>
      <c r="E1" s="451"/>
      <c r="F1" s="451"/>
      <c r="G1" s="451"/>
      <c r="H1" s="451"/>
      <c r="I1" s="451"/>
      <c r="J1" s="451"/>
    </row>
    <row r="3" spans="2:8" ht="25.5" customHeight="1">
      <c r="B3" s="49" t="s">
        <v>1</v>
      </c>
      <c r="C3" s="8" t="e">
        <f>#REF!</f>
        <v>#REF!</v>
      </c>
      <c r="G3" s="50" t="s">
        <v>2</v>
      </c>
      <c r="H3" s="8" t="e">
        <f>#REF!</f>
        <v>#REF!</v>
      </c>
    </row>
    <row r="4" spans="2:8" ht="25.5" customHeight="1">
      <c r="B4" s="51" t="s">
        <v>3</v>
      </c>
      <c r="C4" s="8" t="e">
        <f>#REF!</f>
        <v>#REF!</v>
      </c>
      <c r="G4" s="52" t="s">
        <v>401</v>
      </c>
      <c r="H4" s="8" t="e">
        <f>#REF!</f>
        <v>#REF!</v>
      </c>
    </row>
    <row r="5" spans="1:10" ht="30" customHeight="1">
      <c r="A5" s="53" t="s">
        <v>402</v>
      </c>
      <c r="B5" s="54"/>
      <c r="C5" s="452"/>
      <c r="D5" s="452"/>
      <c r="E5" s="452"/>
      <c r="F5" s="453" t="s">
        <v>403</v>
      </c>
      <c r="G5" s="452"/>
      <c r="H5" s="454"/>
      <c r="I5" s="455"/>
      <c r="J5" s="456"/>
    </row>
    <row r="6" spans="1:10" s="47" customFormat="1" ht="33" customHeight="1">
      <c r="A6" s="25" t="s">
        <v>404</v>
      </c>
      <c r="B6" s="25" t="s">
        <v>13</v>
      </c>
      <c r="C6" s="9" t="s">
        <v>14</v>
      </c>
      <c r="D6" s="9" t="s">
        <v>15</v>
      </c>
      <c r="E6" s="9" t="s">
        <v>405</v>
      </c>
      <c r="F6" s="9" t="s">
        <v>406</v>
      </c>
      <c r="G6" s="9" t="s">
        <v>407</v>
      </c>
      <c r="H6" s="9" t="s">
        <v>408</v>
      </c>
      <c r="I6" s="9" t="s">
        <v>409</v>
      </c>
      <c r="J6" s="10" t="s">
        <v>410</v>
      </c>
    </row>
    <row r="7" spans="1:10" ht="33" customHeight="1">
      <c r="A7" s="54"/>
      <c r="B7" s="54"/>
      <c r="C7" s="54"/>
      <c r="D7" s="54"/>
      <c r="E7" s="54"/>
      <c r="F7" s="54"/>
      <c r="G7" s="54"/>
      <c r="H7" s="54"/>
      <c r="I7" s="54"/>
      <c r="J7" s="54"/>
    </row>
    <row r="8" spans="1:10" ht="33" customHeight="1">
      <c r="A8" s="54"/>
      <c r="B8" s="54"/>
      <c r="C8" s="54"/>
      <c r="D8" s="54"/>
      <c r="E8" s="54"/>
      <c r="F8" s="54"/>
      <c r="G8" s="54"/>
      <c r="H8" s="54"/>
      <c r="I8" s="54"/>
      <c r="J8" s="54"/>
    </row>
    <row r="9" spans="1:10" ht="33" customHeight="1">
      <c r="A9" s="54"/>
      <c r="B9" s="54"/>
      <c r="C9" s="54"/>
      <c r="D9" s="54"/>
      <c r="E9" s="54"/>
      <c r="F9" s="54"/>
      <c r="G9" s="54"/>
      <c r="H9" s="54"/>
      <c r="I9" s="54"/>
      <c r="J9" s="54"/>
    </row>
    <row r="10" spans="1:10" ht="33" customHeight="1">
      <c r="A10" s="54"/>
      <c r="B10" s="54"/>
      <c r="C10" s="54"/>
      <c r="D10" s="54"/>
      <c r="E10" s="54"/>
      <c r="F10" s="54"/>
      <c r="G10" s="54"/>
      <c r="H10" s="54"/>
      <c r="I10" s="54"/>
      <c r="J10" s="54"/>
    </row>
    <row r="11" spans="1:10" ht="33" customHeight="1">
      <c r="A11" s="54"/>
      <c r="B11" s="54"/>
      <c r="C11" s="54"/>
      <c r="D11" s="54"/>
      <c r="E11" s="54"/>
      <c r="F11" s="54"/>
      <c r="G11" s="54"/>
      <c r="H11" s="54"/>
      <c r="I11" s="54"/>
      <c r="J11" s="54"/>
    </row>
    <row r="12" spans="1:10" ht="33" customHeight="1">
      <c r="A12" s="54"/>
      <c r="B12" s="54"/>
      <c r="C12" s="54"/>
      <c r="D12" s="54"/>
      <c r="E12" s="54"/>
      <c r="F12" s="54"/>
      <c r="G12" s="54"/>
      <c r="H12" s="54"/>
      <c r="I12" s="54"/>
      <c r="J12" s="54"/>
    </row>
    <row r="13" spans="1:10" ht="33" customHeight="1">
      <c r="A13" s="54"/>
      <c r="B13" s="54"/>
      <c r="C13" s="54"/>
      <c r="D13" s="54"/>
      <c r="E13" s="54"/>
      <c r="F13" s="54"/>
      <c r="G13" s="54"/>
      <c r="H13" s="54"/>
      <c r="I13" s="54"/>
      <c r="J13" s="54"/>
    </row>
    <row r="14" spans="1:10" ht="33" customHeight="1">
      <c r="A14" s="54"/>
      <c r="B14" s="54"/>
      <c r="C14" s="54"/>
      <c r="D14" s="54"/>
      <c r="E14" s="54"/>
      <c r="F14" s="54"/>
      <c r="G14" s="54"/>
      <c r="H14" s="54"/>
      <c r="I14" s="54"/>
      <c r="J14" s="54"/>
    </row>
    <row r="15" spans="1:10" ht="33" customHeight="1">
      <c r="A15" s="54"/>
      <c r="B15" s="54"/>
      <c r="C15" s="54"/>
      <c r="D15" s="54"/>
      <c r="E15" s="54"/>
      <c r="F15" s="54"/>
      <c r="G15" s="54"/>
      <c r="H15" s="54"/>
      <c r="I15" s="54"/>
      <c r="J15" s="54"/>
    </row>
  </sheetData>
  <sheetProtection/>
  <mergeCells count="4">
    <mergeCell ref="A1:J1"/>
    <mergeCell ref="C5:E5"/>
    <mergeCell ref="F5:G5"/>
    <mergeCell ref="H5:J5"/>
  </mergeCells>
  <printOptions/>
  <pageMargins left="0.59" right="0.59" top="0.98" bottom="0.79" header="0.51" footer="0.51"/>
  <pageSetup horizontalDpi="600" verticalDpi="600" orientation="landscape" paperSize="9"/>
  <headerFooter alignWithMargins="0">
    <oddFooter>&amp;L编制：                        复核：                        总监办：                        指挥部：</oddFooter>
  </headerFooter>
</worksheet>
</file>

<file path=xl/worksheets/sheet16.xml><?xml version="1.0" encoding="utf-8"?>
<worksheet xmlns="http://schemas.openxmlformats.org/spreadsheetml/2006/main" xmlns:r="http://schemas.openxmlformats.org/officeDocument/2006/relationships">
  <dimension ref="A1:AB25"/>
  <sheetViews>
    <sheetView zoomScalePageLayoutView="0" workbookViewId="0" topLeftCell="A1">
      <selection activeCell="B11" sqref="B11:C11"/>
    </sheetView>
  </sheetViews>
  <sheetFormatPr defaultColWidth="9.00390625" defaultRowHeight="14.25"/>
  <cols>
    <col min="1" max="1" width="5.875" style="38" customWidth="1"/>
    <col min="2" max="2" width="9.375" style="38" customWidth="1"/>
    <col min="3" max="3" width="11.625" style="38" customWidth="1"/>
    <col min="4" max="4" width="4.75390625" style="38" customWidth="1"/>
    <col min="5" max="5" width="7.125" style="38" customWidth="1"/>
    <col min="6" max="6" width="7.50390625" style="38" customWidth="1"/>
    <col min="7" max="11" width="3.50390625" style="38" customWidth="1"/>
    <col min="12" max="12" width="4.75390625" style="38" customWidth="1"/>
    <col min="13" max="13" width="3.125" style="38" customWidth="1"/>
    <col min="14" max="14" width="5.375" style="38" customWidth="1"/>
    <col min="15" max="15" width="3.50390625" style="38" customWidth="1"/>
    <col min="16" max="16" width="4.125" style="38" customWidth="1"/>
    <col min="17" max="17" width="2.25390625" style="38" customWidth="1"/>
    <col min="18" max="18" width="5.375" style="38" customWidth="1"/>
    <col min="19" max="19" width="5.625" style="38" customWidth="1"/>
    <col min="20" max="20" width="2.50390625" style="38" customWidth="1"/>
    <col min="21" max="21" width="3.375" style="38" customWidth="1"/>
    <col min="22" max="22" width="4.50390625" style="38" customWidth="1"/>
    <col min="23" max="23" width="2.625" style="38" customWidth="1"/>
    <col min="24" max="24" width="3.75390625" style="38" customWidth="1"/>
    <col min="25" max="25" width="2.625" style="38" customWidth="1"/>
    <col min="26" max="26" width="2.375" style="38" customWidth="1"/>
    <col min="27" max="27" width="3.875" style="38" customWidth="1"/>
    <col min="28" max="28" width="6.625" style="38" customWidth="1"/>
    <col min="29" max="16384" width="9.00390625" style="38" customWidth="1"/>
  </cols>
  <sheetData>
    <row r="1" spans="1:28" ht="27.75" customHeight="1">
      <c r="A1" s="457" t="s">
        <v>411</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row>
    <row r="2" spans="1:28" ht="17.25" customHeight="1">
      <c r="A2" s="459" t="s">
        <v>412</v>
      </c>
      <c r="B2" s="460"/>
      <c r="C2" s="460"/>
      <c r="D2" s="460"/>
      <c r="E2" s="460"/>
      <c r="F2" s="460"/>
      <c r="G2" s="460"/>
      <c r="H2" s="461" t="s">
        <v>413</v>
      </c>
      <c r="I2" s="462"/>
      <c r="J2" s="460"/>
      <c r="K2" s="460"/>
      <c r="L2" s="461" t="s">
        <v>414</v>
      </c>
      <c r="M2" s="462"/>
      <c r="N2" s="460"/>
      <c r="O2" s="460"/>
      <c r="P2" s="461" t="s">
        <v>415</v>
      </c>
      <c r="Q2" s="462"/>
      <c r="R2" s="460"/>
      <c r="S2" s="460"/>
      <c r="T2" s="459" t="s">
        <v>416</v>
      </c>
      <c r="U2" s="460"/>
      <c r="V2" s="461" t="s">
        <v>417</v>
      </c>
      <c r="W2" s="462"/>
      <c r="X2" s="460" t="s">
        <v>418</v>
      </c>
      <c r="Y2" s="460"/>
      <c r="Z2" s="459" t="s">
        <v>416</v>
      </c>
      <c r="AA2" s="460"/>
      <c r="AB2" s="39" t="s">
        <v>419</v>
      </c>
    </row>
    <row r="3" spans="1:28" ht="17.25" customHeight="1">
      <c r="A3" s="463" t="s">
        <v>420</v>
      </c>
      <c r="B3" s="463" t="s">
        <v>421</v>
      </c>
      <c r="C3" s="464"/>
      <c r="D3" s="464"/>
      <c r="E3" s="464"/>
      <c r="F3" s="464"/>
      <c r="G3" s="464"/>
      <c r="H3" s="464"/>
      <c r="I3" s="464"/>
      <c r="J3" s="464"/>
      <c r="K3" s="464"/>
      <c r="L3" s="464"/>
      <c r="M3" s="464"/>
      <c r="N3" s="464"/>
      <c r="O3" s="464"/>
      <c r="P3" s="464"/>
      <c r="Q3" s="464" t="s">
        <v>418</v>
      </c>
      <c r="R3" s="464"/>
      <c r="S3" s="464"/>
      <c r="T3" s="464"/>
      <c r="U3" s="464"/>
      <c r="V3" s="464"/>
      <c r="W3" s="463" t="s">
        <v>422</v>
      </c>
      <c r="X3" s="464"/>
      <c r="Y3" s="464"/>
      <c r="Z3" s="464"/>
      <c r="AA3" s="464"/>
      <c r="AB3" s="464"/>
    </row>
    <row r="4" spans="1:28" ht="17.25" customHeight="1">
      <c r="A4" s="464"/>
      <c r="B4" s="463" t="s">
        <v>423</v>
      </c>
      <c r="C4" s="464"/>
      <c r="D4" s="464"/>
      <c r="E4" s="464"/>
      <c r="F4" s="464"/>
      <c r="G4" s="464"/>
      <c r="H4" s="464"/>
      <c r="I4" s="464"/>
      <c r="J4" s="464"/>
      <c r="K4" s="464"/>
      <c r="L4" s="464"/>
      <c r="M4" s="464"/>
      <c r="N4" s="464"/>
      <c r="O4" s="464"/>
      <c r="P4" s="464"/>
      <c r="Q4" s="464" t="s">
        <v>418</v>
      </c>
      <c r="R4" s="464"/>
      <c r="S4" s="464"/>
      <c r="T4" s="464"/>
      <c r="U4" s="464"/>
      <c r="V4" s="464"/>
      <c r="W4" s="464"/>
      <c r="X4" s="464"/>
      <c r="Y4" s="464"/>
      <c r="Z4" s="464"/>
      <c r="AA4" s="464"/>
      <c r="AB4" s="464"/>
    </row>
    <row r="5" spans="1:28" ht="17.25" customHeight="1">
      <c r="A5" s="464"/>
      <c r="B5" s="463" t="s">
        <v>424</v>
      </c>
      <c r="C5" s="464"/>
      <c r="D5" s="464"/>
      <c r="E5" s="464"/>
      <c r="F5" s="464"/>
      <c r="G5" s="464"/>
      <c r="H5" s="464"/>
      <c r="I5" s="464"/>
      <c r="J5" s="464"/>
      <c r="K5" s="464"/>
      <c r="L5" s="464"/>
      <c r="M5" s="464"/>
      <c r="N5" s="464"/>
      <c r="O5" s="464"/>
      <c r="P5" s="464"/>
      <c r="Q5" s="464" t="s">
        <v>418</v>
      </c>
      <c r="R5" s="464"/>
      <c r="S5" s="464"/>
      <c r="T5" s="464"/>
      <c r="U5" s="464"/>
      <c r="V5" s="464"/>
      <c r="W5" s="464"/>
      <c r="X5" s="464"/>
      <c r="Y5" s="464"/>
      <c r="Z5" s="464"/>
      <c r="AA5" s="464"/>
      <c r="AB5" s="464"/>
    </row>
    <row r="6" spans="1:28" ht="17.25" customHeight="1">
      <c r="A6" s="464"/>
      <c r="B6" s="463" t="s">
        <v>425</v>
      </c>
      <c r="C6" s="464"/>
      <c r="D6" s="464"/>
      <c r="E6" s="464"/>
      <c r="F6" s="464"/>
      <c r="G6" s="464"/>
      <c r="H6" s="464"/>
      <c r="I6" s="464"/>
      <c r="J6" s="464"/>
      <c r="K6" s="464"/>
      <c r="L6" s="464"/>
      <c r="M6" s="464"/>
      <c r="N6" s="464"/>
      <c r="O6" s="464"/>
      <c r="P6" s="464"/>
      <c r="Q6" s="464" t="s">
        <v>418</v>
      </c>
      <c r="R6" s="464"/>
      <c r="S6" s="464"/>
      <c r="T6" s="464"/>
      <c r="U6" s="464"/>
      <c r="V6" s="464"/>
      <c r="W6" s="464"/>
      <c r="X6" s="464"/>
      <c r="Y6" s="464"/>
      <c r="Z6" s="464"/>
      <c r="AA6" s="464"/>
      <c r="AB6" s="464"/>
    </row>
    <row r="7" spans="1:28" ht="17.25" customHeight="1">
      <c r="A7" s="464"/>
      <c r="B7" s="463" t="s">
        <v>426</v>
      </c>
      <c r="C7" s="464"/>
      <c r="D7" s="464"/>
      <c r="E7" s="464"/>
      <c r="F7" s="464"/>
      <c r="G7" s="464"/>
      <c r="H7" s="464"/>
      <c r="I7" s="464"/>
      <c r="J7" s="464"/>
      <c r="K7" s="464"/>
      <c r="L7" s="464"/>
      <c r="M7" s="464"/>
      <c r="N7" s="464"/>
      <c r="O7" s="464"/>
      <c r="P7" s="464"/>
      <c r="Q7" s="464" t="s">
        <v>418</v>
      </c>
      <c r="R7" s="464"/>
      <c r="S7" s="464"/>
      <c r="T7" s="464"/>
      <c r="U7" s="464"/>
      <c r="V7" s="464"/>
      <c r="W7" s="464"/>
      <c r="X7" s="464"/>
      <c r="Y7" s="464"/>
      <c r="Z7" s="464"/>
      <c r="AA7" s="464"/>
      <c r="AB7" s="464"/>
    </row>
    <row r="8" spans="1:28" ht="17.25" customHeight="1">
      <c r="A8" s="464"/>
      <c r="B8" s="463" t="s">
        <v>427</v>
      </c>
      <c r="C8" s="464"/>
      <c r="D8" s="40" t="s">
        <v>15</v>
      </c>
      <c r="E8" s="40" t="s">
        <v>428</v>
      </c>
      <c r="F8" s="40" t="s">
        <v>429</v>
      </c>
      <c r="G8" s="463" t="s">
        <v>178</v>
      </c>
      <c r="H8" s="464"/>
      <c r="I8" s="463" t="s">
        <v>430</v>
      </c>
      <c r="J8" s="464"/>
      <c r="K8" s="463" t="s">
        <v>429</v>
      </c>
      <c r="L8" s="464"/>
      <c r="M8" s="463" t="s">
        <v>178</v>
      </c>
      <c r="N8" s="464"/>
      <c r="O8" s="463" t="s">
        <v>430</v>
      </c>
      <c r="P8" s="464"/>
      <c r="Q8" s="463" t="s">
        <v>429</v>
      </c>
      <c r="R8" s="464"/>
      <c r="S8" s="463" t="s">
        <v>178</v>
      </c>
      <c r="T8" s="464"/>
      <c r="U8" s="463" t="s">
        <v>430</v>
      </c>
      <c r="V8" s="464"/>
      <c r="W8" s="463" t="s">
        <v>178</v>
      </c>
      <c r="X8" s="464"/>
      <c r="Y8" s="464"/>
      <c r="Z8" s="464"/>
      <c r="AA8" s="463" t="s">
        <v>430</v>
      </c>
      <c r="AB8" s="464"/>
    </row>
    <row r="9" spans="1:28" ht="17.25" customHeight="1">
      <c r="A9" s="41"/>
      <c r="B9" s="465"/>
      <c r="C9" s="465"/>
      <c r="D9" s="41"/>
      <c r="E9" s="42"/>
      <c r="F9" s="42"/>
      <c r="G9" s="466"/>
      <c r="H9" s="466"/>
      <c r="I9" s="466"/>
      <c r="J9" s="466"/>
      <c r="K9" s="466"/>
      <c r="L9" s="466"/>
      <c r="M9" s="466"/>
      <c r="N9" s="466"/>
      <c r="O9" s="466"/>
      <c r="P9" s="466"/>
      <c r="Q9" s="466" t="s">
        <v>418</v>
      </c>
      <c r="R9" s="466"/>
      <c r="S9" s="466" t="s">
        <v>418</v>
      </c>
      <c r="T9" s="466"/>
      <c r="U9" s="466" t="s">
        <v>418</v>
      </c>
      <c r="V9" s="466"/>
      <c r="W9" s="466"/>
      <c r="X9" s="466"/>
      <c r="Y9" s="466"/>
      <c r="Z9" s="466"/>
      <c r="AA9" s="466"/>
      <c r="AB9" s="466"/>
    </row>
    <row r="10" spans="1:28" ht="17.25" customHeight="1">
      <c r="A10" s="41"/>
      <c r="B10" s="465"/>
      <c r="C10" s="465"/>
      <c r="D10" s="41"/>
      <c r="E10" s="42"/>
      <c r="F10" s="42"/>
      <c r="G10" s="466"/>
      <c r="H10" s="466"/>
      <c r="I10" s="466"/>
      <c r="J10" s="466"/>
      <c r="K10" s="466"/>
      <c r="L10" s="466"/>
      <c r="M10" s="466"/>
      <c r="N10" s="466"/>
      <c r="O10" s="466"/>
      <c r="P10" s="466"/>
      <c r="Q10" s="466" t="s">
        <v>418</v>
      </c>
      <c r="R10" s="466"/>
      <c r="S10" s="466" t="s">
        <v>418</v>
      </c>
      <c r="T10" s="466"/>
      <c r="U10" s="466" t="s">
        <v>418</v>
      </c>
      <c r="V10" s="466"/>
      <c r="W10" s="466"/>
      <c r="X10" s="466"/>
      <c r="Y10" s="466"/>
      <c r="Z10" s="466"/>
      <c r="AA10" s="466"/>
      <c r="AB10" s="466"/>
    </row>
    <row r="11" spans="1:28" ht="17.25" customHeight="1">
      <c r="A11" s="41"/>
      <c r="B11" s="465"/>
      <c r="C11" s="465"/>
      <c r="D11" s="41"/>
      <c r="E11" s="42"/>
      <c r="F11" s="42"/>
      <c r="G11" s="466"/>
      <c r="H11" s="466"/>
      <c r="I11" s="466"/>
      <c r="J11" s="466"/>
      <c r="K11" s="466"/>
      <c r="L11" s="466"/>
      <c r="M11" s="466"/>
      <c r="N11" s="466"/>
      <c r="O11" s="466"/>
      <c r="P11" s="466"/>
      <c r="Q11" s="466" t="s">
        <v>418</v>
      </c>
      <c r="R11" s="466"/>
      <c r="S11" s="466" t="s">
        <v>418</v>
      </c>
      <c r="T11" s="466"/>
      <c r="U11" s="466" t="s">
        <v>418</v>
      </c>
      <c r="V11" s="466"/>
      <c r="W11" s="466"/>
      <c r="X11" s="466"/>
      <c r="Y11" s="466"/>
      <c r="Z11" s="466"/>
      <c r="AA11" s="466"/>
      <c r="AB11" s="466"/>
    </row>
    <row r="12" spans="1:28" ht="17.25" customHeight="1">
      <c r="A12" s="41"/>
      <c r="B12" s="465"/>
      <c r="C12" s="465"/>
      <c r="D12" s="41"/>
      <c r="E12" s="42"/>
      <c r="F12" s="42"/>
      <c r="G12" s="466"/>
      <c r="H12" s="466"/>
      <c r="I12" s="466"/>
      <c r="J12" s="466"/>
      <c r="K12" s="466"/>
      <c r="L12" s="466"/>
      <c r="M12" s="466"/>
      <c r="N12" s="466"/>
      <c r="O12" s="466"/>
      <c r="P12" s="466"/>
      <c r="Q12" s="466" t="s">
        <v>418</v>
      </c>
      <c r="R12" s="466"/>
      <c r="S12" s="466" t="s">
        <v>418</v>
      </c>
      <c r="T12" s="466"/>
      <c r="U12" s="466" t="s">
        <v>418</v>
      </c>
      <c r="V12" s="466"/>
      <c r="W12" s="466"/>
      <c r="X12" s="466"/>
      <c r="Y12" s="466"/>
      <c r="Z12" s="466"/>
      <c r="AA12" s="466"/>
      <c r="AB12" s="466"/>
    </row>
    <row r="13" spans="1:28" ht="17.25" customHeight="1">
      <c r="A13" s="41"/>
      <c r="B13" s="465"/>
      <c r="C13" s="465"/>
      <c r="D13" s="41"/>
      <c r="E13" s="42"/>
      <c r="F13" s="42"/>
      <c r="G13" s="466"/>
      <c r="H13" s="466"/>
      <c r="I13" s="466"/>
      <c r="J13" s="466"/>
      <c r="K13" s="466"/>
      <c r="L13" s="466"/>
      <c r="M13" s="466"/>
      <c r="N13" s="466"/>
      <c r="O13" s="466"/>
      <c r="P13" s="466"/>
      <c r="Q13" s="466" t="s">
        <v>418</v>
      </c>
      <c r="R13" s="466"/>
      <c r="S13" s="466" t="s">
        <v>418</v>
      </c>
      <c r="T13" s="466"/>
      <c r="U13" s="466" t="s">
        <v>418</v>
      </c>
      <c r="V13" s="466"/>
      <c r="W13" s="466"/>
      <c r="X13" s="466"/>
      <c r="Y13" s="466"/>
      <c r="Z13" s="466"/>
      <c r="AA13" s="466"/>
      <c r="AB13" s="466"/>
    </row>
    <row r="14" spans="1:28" ht="17.25" customHeight="1">
      <c r="A14" s="41"/>
      <c r="B14" s="465"/>
      <c r="C14" s="465"/>
      <c r="D14" s="41"/>
      <c r="E14" s="42"/>
      <c r="F14" s="42"/>
      <c r="G14" s="466"/>
      <c r="H14" s="466"/>
      <c r="I14" s="466"/>
      <c r="J14" s="466"/>
      <c r="K14" s="466"/>
      <c r="L14" s="466"/>
      <c r="M14" s="466"/>
      <c r="N14" s="466"/>
      <c r="O14" s="466"/>
      <c r="P14" s="466"/>
      <c r="Q14" s="466" t="s">
        <v>418</v>
      </c>
      <c r="R14" s="466"/>
      <c r="S14" s="466" t="s">
        <v>418</v>
      </c>
      <c r="T14" s="466"/>
      <c r="U14" s="466" t="s">
        <v>418</v>
      </c>
      <c r="V14" s="466"/>
      <c r="W14" s="466"/>
      <c r="X14" s="466"/>
      <c r="Y14" s="466"/>
      <c r="Z14" s="466"/>
      <c r="AA14" s="466"/>
      <c r="AB14" s="466"/>
    </row>
    <row r="15" spans="1:28" ht="17.25" customHeight="1">
      <c r="A15" s="43" t="s">
        <v>418</v>
      </c>
      <c r="B15" s="467" t="s">
        <v>431</v>
      </c>
      <c r="C15" s="465"/>
      <c r="D15" s="40" t="s">
        <v>416</v>
      </c>
      <c r="E15" s="45" t="s">
        <v>418</v>
      </c>
      <c r="F15" s="45"/>
      <c r="G15" s="468"/>
      <c r="H15" s="468"/>
      <c r="I15" s="468"/>
      <c r="J15" s="468"/>
      <c r="K15" s="468"/>
      <c r="L15" s="468"/>
      <c r="M15" s="468"/>
      <c r="N15" s="468"/>
      <c r="O15" s="468"/>
      <c r="P15" s="468"/>
      <c r="Q15" s="468"/>
      <c r="R15" s="468"/>
      <c r="S15" s="468"/>
      <c r="T15" s="468"/>
      <c r="U15" s="468"/>
      <c r="V15" s="468"/>
      <c r="W15" s="468"/>
      <c r="X15" s="468"/>
      <c r="Y15" s="468"/>
      <c r="Z15" s="468"/>
      <c r="AA15" s="468"/>
      <c r="AB15" s="468"/>
    </row>
    <row r="16" spans="1:28" ht="17.25" customHeight="1">
      <c r="A16" s="43" t="s">
        <v>418</v>
      </c>
      <c r="B16" s="467" t="s">
        <v>432</v>
      </c>
      <c r="C16" s="465"/>
      <c r="D16" s="40" t="s">
        <v>416</v>
      </c>
      <c r="E16" s="45" t="s">
        <v>418</v>
      </c>
      <c r="F16" s="45"/>
      <c r="G16" s="468"/>
      <c r="H16" s="468"/>
      <c r="I16" s="468"/>
      <c r="J16" s="468"/>
      <c r="K16" s="468"/>
      <c r="L16" s="468"/>
      <c r="M16" s="468"/>
      <c r="N16" s="468"/>
      <c r="O16" s="468"/>
      <c r="P16" s="468"/>
      <c r="Q16" s="468"/>
      <c r="R16" s="468"/>
      <c r="S16" s="468"/>
      <c r="T16" s="468"/>
      <c r="U16" s="468"/>
      <c r="V16" s="468"/>
      <c r="W16" s="468"/>
      <c r="X16" s="468"/>
      <c r="Y16" s="468"/>
      <c r="Z16" s="468"/>
      <c r="AA16" s="468"/>
      <c r="AB16" s="468"/>
    </row>
    <row r="17" spans="1:28" ht="17.25" customHeight="1">
      <c r="A17" s="43" t="s">
        <v>418</v>
      </c>
      <c r="B17" s="467" t="s">
        <v>433</v>
      </c>
      <c r="C17" s="44" t="s">
        <v>434</v>
      </c>
      <c r="D17" s="40" t="s">
        <v>416</v>
      </c>
      <c r="E17" s="46" t="s">
        <v>418</v>
      </c>
      <c r="F17" s="45"/>
      <c r="G17" s="468"/>
      <c r="H17" s="468"/>
      <c r="I17" s="468"/>
      <c r="J17" s="468"/>
      <c r="K17" s="468"/>
      <c r="L17" s="468"/>
      <c r="M17" s="468"/>
      <c r="N17" s="468"/>
      <c r="O17" s="468"/>
      <c r="P17" s="468"/>
      <c r="Q17" s="468"/>
      <c r="R17" s="468"/>
      <c r="S17" s="468"/>
      <c r="T17" s="468"/>
      <c r="U17" s="468"/>
      <c r="V17" s="468"/>
      <c r="W17" s="468"/>
      <c r="X17" s="468"/>
      <c r="Y17" s="468"/>
      <c r="Z17" s="468"/>
      <c r="AA17" s="468"/>
      <c r="AB17" s="468"/>
    </row>
    <row r="18" spans="1:28" ht="17.25" customHeight="1">
      <c r="A18" s="43" t="s">
        <v>418</v>
      </c>
      <c r="B18" s="465"/>
      <c r="C18" s="44" t="s">
        <v>435</v>
      </c>
      <c r="D18" s="40" t="s">
        <v>416</v>
      </c>
      <c r="E18" s="46" t="s">
        <v>418</v>
      </c>
      <c r="F18" s="45"/>
      <c r="G18" s="468"/>
      <c r="H18" s="468"/>
      <c r="I18" s="468"/>
      <c r="J18" s="468"/>
      <c r="K18" s="468"/>
      <c r="L18" s="468"/>
      <c r="M18" s="468"/>
      <c r="N18" s="468"/>
      <c r="O18" s="468"/>
      <c r="P18" s="468"/>
      <c r="Q18" s="468"/>
      <c r="R18" s="468"/>
      <c r="S18" s="468"/>
      <c r="T18" s="468"/>
      <c r="U18" s="468"/>
      <c r="V18" s="468"/>
      <c r="W18" s="468"/>
      <c r="X18" s="468"/>
      <c r="Y18" s="468"/>
      <c r="Z18" s="468"/>
      <c r="AA18" s="468"/>
      <c r="AB18" s="468"/>
    </row>
    <row r="19" spans="1:28" ht="17.25" customHeight="1">
      <c r="A19" s="43" t="s">
        <v>418</v>
      </c>
      <c r="B19" s="467" t="s">
        <v>436</v>
      </c>
      <c r="C19" s="40" t="s">
        <v>437</v>
      </c>
      <c r="D19" s="40" t="s">
        <v>416</v>
      </c>
      <c r="E19" s="46" t="s">
        <v>418</v>
      </c>
      <c r="F19" s="45"/>
      <c r="G19" s="468"/>
      <c r="H19" s="468"/>
      <c r="I19" s="468"/>
      <c r="J19" s="468"/>
      <c r="K19" s="468"/>
      <c r="L19" s="468"/>
      <c r="M19" s="468"/>
      <c r="N19" s="468"/>
      <c r="O19" s="468"/>
      <c r="P19" s="468"/>
      <c r="Q19" s="468"/>
      <c r="R19" s="468"/>
      <c r="S19" s="468"/>
      <c r="T19" s="468"/>
      <c r="U19" s="468"/>
      <c r="V19" s="468"/>
      <c r="W19" s="468"/>
      <c r="X19" s="468"/>
      <c r="Y19" s="468"/>
      <c r="Z19" s="468"/>
      <c r="AA19" s="468"/>
      <c r="AB19" s="468"/>
    </row>
    <row r="20" spans="1:28" ht="17.25" customHeight="1">
      <c r="A20" s="43" t="s">
        <v>418</v>
      </c>
      <c r="B20" s="465"/>
      <c r="C20" s="40" t="s">
        <v>438</v>
      </c>
      <c r="D20" s="40" t="s">
        <v>416</v>
      </c>
      <c r="E20" s="46" t="s">
        <v>418</v>
      </c>
      <c r="F20" s="45"/>
      <c r="G20" s="468"/>
      <c r="H20" s="468"/>
      <c r="I20" s="468"/>
      <c r="J20" s="468"/>
      <c r="K20" s="468"/>
      <c r="L20" s="468"/>
      <c r="M20" s="468"/>
      <c r="N20" s="468"/>
      <c r="O20" s="468"/>
      <c r="P20" s="468"/>
      <c r="Q20" s="468"/>
      <c r="R20" s="468"/>
      <c r="S20" s="468"/>
      <c r="T20" s="468"/>
      <c r="U20" s="468"/>
      <c r="V20" s="468"/>
      <c r="W20" s="468"/>
      <c r="X20" s="468"/>
      <c r="Y20" s="468"/>
      <c r="Z20" s="468"/>
      <c r="AA20" s="468"/>
      <c r="AB20" s="468"/>
    </row>
    <row r="21" spans="1:28" ht="17.25" customHeight="1">
      <c r="A21" s="43" t="s">
        <v>418</v>
      </c>
      <c r="B21" s="467" t="s">
        <v>439</v>
      </c>
      <c r="C21" s="465"/>
      <c r="D21" s="40" t="s">
        <v>416</v>
      </c>
      <c r="E21" s="46" t="s">
        <v>418</v>
      </c>
      <c r="F21" s="45"/>
      <c r="G21" s="468"/>
      <c r="H21" s="468"/>
      <c r="I21" s="468"/>
      <c r="J21" s="468"/>
      <c r="K21" s="468"/>
      <c r="L21" s="468"/>
      <c r="M21" s="468"/>
      <c r="N21" s="468"/>
      <c r="O21" s="468"/>
      <c r="P21" s="468"/>
      <c r="Q21" s="468"/>
      <c r="R21" s="468"/>
      <c r="S21" s="468"/>
      <c r="T21" s="468"/>
      <c r="U21" s="468"/>
      <c r="V21" s="468"/>
      <c r="W21" s="468"/>
      <c r="X21" s="468"/>
      <c r="Y21" s="468"/>
      <c r="Z21" s="468"/>
      <c r="AA21" s="468"/>
      <c r="AB21" s="468"/>
    </row>
    <row r="22" spans="1:28" ht="17.25" customHeight="1">
      <c r="A22" s="43" t="s">
        <v>418</v>
      </c>
      <c r="B22" s="467" t="s">
        <v>440</v>
      </c>
      <c r="C22" s="465"/>
      <c r="D22" s="40" t="s">
        <v>416</v>
      </c>
      <c r="E22" s="46" t="s">
        <v>418</v>
      </c>
      <c r="F22" s="45"/>
      <c r="G22" s="468"/>
      <c r="H22" s="468"/>
      <c r="I22" s="468"/>
      <c r="J22" s="468"/>
      <c r="K22" s="468"/>
      <c r="L22" s="468"/>
      <c r="M22" s="468"/>
      <c r="N22" s="468"/>
      <c r="O22" s="468"/>
      <c r="P22" s="468"/>
      <c r="Q22" s="468"/>
      <c r="R22" s="468"/>
      <c r="S22" s="468"/>
      <c r="T22" s="468"/>
      <c r="U22" s="468"/>
      <c r="V22" s="468"/>
      <c r="W22" s="468"/>
      <c r="X22" s="468"/>
      <c r="Y22" s="468"/>
      <c r="Z22" s="468"/>
      <c r="AA22" s="468"/>
      <c r="AB22" s="468"/>
    </row>
    <row r="23" spans="1:28" ht="17.25" customHeight="1">
      <c r="A23" s="43" t="s">
        <v>418</v>
      </c>
      <c r="B23" s="467" t="s">
        <v>230</v>
      </c>
      <c r="C23" s="465"/>
      <c r="D23" s="40" t="s">
        <v>416</v>
      </c>
      <c r="E23" s="46" t="s">
        <v>418</v>
      </c>
      <c r="F23" s="45"/>
      <c r="G23" s="468"/>
      <c r="H23" s="468"/>
      <c r="I23" s="468"/>
      <c r="J23" s="468"/>
      <c r="K23" s="468"/>
      <c r="L23" s="468"/>
      <c r="M23" s="468"/>
      <c r="N23" s="468"/>
      <c r="O23" s="468"/>
      <c r="P23" s="468"/>
      <c r="Q23" s="468"/>
      <c r="R23" s="468"/>
      <c r="S23" s="468"/>
      <c r="T23" s="468"/>
      <c r="U23" s="468"/>
      <c r="V23" s="468"/>
      <c r="W23" s="468"/>
      <c r="X23" s="468"/>
      <c r="Y23" s="468"/>
      <c r="Z23" s="468"/>
      <c r="AA23" s="468"/>
      <c r="AB23" s="468"/>
    </row>
    <row r="24" spans="1:28" ht="17.25" customHeight="1">
      <c r="A24" s="43" t="s">
        <v>418</v>
      </c>
      <c r="B24" s="467" t="s">
        <v>441</v>
      </c>
      <c r="C24" s="465"/>
      <c r="D24" s="40" t="s">
        <v>416</v>
      </c>
      <c r="E24" s="46" t="s">
        <v>418</v>
      </c>
      <c r="F24" s="45"/>
      <c r="G24" s="468"/>
      <c r="H24" s="468"/>
      <c r="I24" s="468"/>
      <c r="J24" s="468"/>
      <c r="K24" s="468"/>
      <c r="L24" s="468"/>
      <c r="M24" s="468"/>
      <c r="N24" s="468"/>
      <c r="O24" s="468"/>
      <c r="P24" s="468"/>
      <c r="Q24" s="468"/>
      <c r="R24" s="468"/>
      <c r="S24" s="468"/>
      <c r="T24" s="468"/>
      <c r="U24" s="468"/>
      <c r="V24" s="468"/>
      <c r="W24" s="468"/>
      <c r="X24" s="468"/>
      <c r="Y24" s="468"/>
      <c r="Z24" s="468"/>
      <c r="AA24" s="468"/>
      <c r="AB24" s="468"/>
    </row>
    <row r="25" spans="1:28" ht="17.25" customHeight="1">
      <c r="A25" s="43" t="s">
        <v>418</v>
      </c>
      <c r="B25" s="467" t="s">
        <v>442</v>
      </c>
      <c r="C25" s="465"/>
      <c r="D25" s="40" t="s">
        <v>416</v>
      </c>
      <c r="E25" s="46" t="s">
        <v>418</v>
      </c>
      <c r="F25" s="45"/>
      <c r="G25" s="468"/>
      <c r="H25" s="468"/>
      <c r="I25" s="468"/>
      <c r="J25" s="468"/>
      <c r="K25" s="468"/>
      <c r="L25" s="468"/>
      <c r="M25" s="468"/>
      <c r="N25" s="468"/>
      <c r="O25" s="468"/>
      <c r="P25" s="468"/>
      <c r="Q25" s="468"/>
      <c r="R25" s="468"/>
      <c r="S25" s="468"/>
      <c r="T25" s="468"/>
      <c r="U25" s="468"/>
      <c r="V25" s="468"/>
      <c r="W25" s="468"/>
      <c r="X25" s="468"/>
      <c r="Y25" s="468"/>
      <c r="Z25" s="468"/>
      <c r="AA25" s="468"/>
      <c r="AB25" s="468"/>
    </row>
  </sheetData>
  <sheetProtection/>
  <mergeCells count="230">
    <mergeCell ref="A3:A8"/>
    <mergeCell ref="B17:B18"/>
    <mergeCell ref="B19:B20"/>
    <mergeCell ref="W3:AB7"/>
    <mergeCell ref="O25:P25"/>
    <mergeCell ref="Q25:R25"/>
    <mergeCell ref="S25:T25"/>
    <mergeCell ref="U25:V25"/>
    <mergeCell ref="W25:Z25"/>
    <mergeCell ref="AA25:AB25"/>
    <mergeCell ref="Q24:R24"/>
    <mergeCell ref="S24:T24"/>
    <mergeCell ref="U24:V24"/>
    <mergeCell ref="W24:Z24"/>
    <mergeCell ref="AA24:AB24"/>
    <mergeCell ref="B25:C25"/>
    <mergeCell ref="G25:H25"/>
    <mergeCell ref="I25:J25"/>
    <mergeCell ref="K25:L25"/>
    <mergeCell ref="M25:N25"/>
    <mergeCell ref="B24:C24"/>
    <mergeCell ref="G24:H24"/>
    <mergeCell ref="I24:J24"/>
    <mergeCell ref="K24:L24"/>
    <mergeCell ref="M24:N24"/>
    <mergeCell ref="O24:P24"/>
    <mergeCell ref="O23:P23"/>
    <mergeCell ref="Q23:R23"/>
    <mergeCell ref="S23:T23"/>
    <mergeCell ref="U23:V23"/>
    <mergeCell ref="W23:Z23"/>
    <mergeCell ref="AA23:AB23"/>
    <mergeCell ref="Q22:R22"/>
    <mergeCell ref="S22:T22"/>
    <mergeCell ref="U22:V22"/>
    <mergeCell ref="W22:Z22"/>
    <mergeCell ref="AA22:AB22"/>
    <mergeCell ref="B23:C23"/>
    <mergeCell ref="G23:H23"/>
    <mergeCell ref="I23:J23"/>
    <mergeCell ref="K23:L23"/>
    <mergeCell ref="M23:N23"/>
    <mergeCell ref="B22:C22"/>
    <mergeCell ref="G22:H22"/>
    <mergeCell ref="I22:J22"/>
    <mergeCell ref="K22:L22"/>
    <mergeCell ref="M22:N22"/>
    <mergeCell ref="O22:P22"/>
    <mergeCell ref="O21:P21"/>
    <mergeCell ref="Q21:R21"/>
    <mergeCell ref="S21:T21"/>
    <mergeCell ref="U21:V21"/>
    <mergeCell ref="W21:Z21"/>
    <mergeCell ref="AA21:AB21"/>
    <mergeCell ref="Q20:R20"/>
    <mergeCell ref="S20:T20"/>
    <mergeCell ref="U20:V20"/>
    <mergeCell ref="W20:Z20"/>
    <mergeCell ref="AA20:AB20"/>
    <mergeCell ref="B21:C21"/>
    <mergeCell ref="G21:H21"/>
    <mergeCell ref="I21:J21"/>
    <mergeCell ref="K21:L21"/>
    <mergeCell ref="M21:N21"/>
    <mergeCell ref="Q19:R19"/>
    <mergeCell ref="S19:T19"/>
    <mergeCell ref="U19:V19"/>
    <mergeCell ref="W19:Z19"/>
    <mergeCell ref="AA19:AB19"/>
    <mergeCell ref="G20:H20"/>
    <mergeCell ref="I20:J20"/>
    <mergeCell ref="K20:L20"/>
    <mergeCell ref="M20:N20"/>
    <mergeCell ref="O20:P20"/>
    <mergeCell ref="Q18:R18"/>
    <mergeCell ref="S18:T18"/>
    <mergeCell ref="U18:V18"/>
    <mergeCell ref="W18:Z18"/>
    <mergeCell ref="AA18:AB18"/>
    <mergeCell ref="G19:H19"/>
    <mergeCell ref="I19:J19"/>
    <mergeCell ref="K19:L19"/>
    <mergeCell ref="M19:N19"/>
    <mergeCell ref="O19:P19"/>
    <mergeCell ref="Q17:R17"/>
    <mergeCell ref="S17:T17"/>
    <mergeCell ref="U17:V17"/>
    <mergeCell ref="W17:Z17"/>
    <mergeCell ref="AA17:AB17"/>
    <mergeCell ref="G18:H18"/>
    <mergeCell ref="I18:J18"/>
    <mergeCell ref="K18:L18"/>
    <mergeCell ref="M18:N18"/>
    <mergeCell ref="O18:P18"/>
    <mergeCell ref="Q16:R16"/>
    <mergeCell ref="S16:T16"/>
    <mergeCell ref="U16:V16"/>
    <mergeCell ref="W16:Z16"/>
    <mergeCell ref="AA16:AB16"/>
    <mergeCell ref="G17:H17"/>
    <mergeCell ref="I17:J17"/>
    <mergeCell ref="K17:L17"/>
    <mergeCell ref="M17:N17"/>
    <mergeCell ref="O17:P17"/>
    <mergeCell ref="B16:C16"/>
    <mergeCell ref="G16:H16"/>
    <mergeCell ref="I16:J16"/>
    <mergeCell ref="K16:L16"/>
    <mergeCell ref="M16:N16"/>
    <mergeCell ref="O16:P16"/>
    <mergeCell ref="O15:P15"/>
    <mergeCell ref="Q15:R15"/>
    <mergeCell ref="S15:T15"/>
    <mergeCell ref="U15:V15"/>
    <mergeCell ref="W15:Z15"/>
    <mergeCell ref="AA15:AB15"/>
    <mergeCell ref="Q14:R14"/>
    <mergeCell ref="S14:T14"/>
    <mergeCell ref="U14:V14"/>
    <mergeCell ref="W14:Z14"/>
    <mergeCell ref="AA14:AB14"/>
    <mergeCell ref="B15:C15"/>
    <mergeCell ref="G15:H15"/>
    <mergeCell ref="I15:J15"/>
    <mergeCell ref="K15:L15"/>
    <mergeCell ref="M15:N15"/>
    <mergeCell ref="B14:C14"/>
    <mergeCell ref="G14:H14"/>
    <mergeCell ref="I14:J14"/>
    <mergeCell ref="K14:L14"/>
    <mergeCell ref="M14:N14"/>
    <mergeCell ref="O14:P14"/>
    <mergeCell ref="O13:P13"/>
    <mergeCell ref="Q13:R13"/>
    <mergeCell ref="S13:T13"/>
    <mergeCell ref="U13:V13"/>
    <mergeCell ref="W13:Z13"/>
    <mergeCell ref="AA13:AB13"/>
    <mergeCell ref="Q12:R12"/>
    <mergeCell ref="S12:T12"/>
    <mergeCell ref="U12:V12"/>
    <mergeCell ref="W12:Z12"/>
    <mergeCell ref="AA12:AB12"/>
    <mergeCell ref="B13:C13"/>
    <mergeCell ref="G13:H13"/>
    <mergeCell ref="I13:J13"/>
    <mergeCell ref="K13:L13"/>
    <mergeCell ref="M13:N13"/>
    <mergeCell ref="B12:C12"/>
    <mergeCell ref="G12:H12"/>
    <mergeCell ref="I12:J12"/>
    <mergeCell ref="K12:L12"/>
    <mergeCell ref="M12:N12"/>
    <mergeCell ref="O12:P12"/>
    <mergeCell ref="O11:P11"/>
    <mergeCell ref="Q11:R11"/>
    <mergeCell ref="S11:T11"/>
    <mergeCell ref="U11:V11"/>
    <mergeCell ref="W11:Z11"/>
    <mergeCell ref="AA11:AB11"/>
    <mergeCell ref="Q10:R10"/>
    <mergeCell ref="S10:T10"/>
    <mergeCell ref="U10:V10"/>
    <mergeCell ref="W10:Z10"/>
    <mergeCell ref="AA10:AB10"/>
    <mergeCell ref="B11:C11"/>
    <mergeCell ref="G11:H11"/>
    <mergeCell ref="I11:J11"/>
    <mergeCell ref="K11:L11"/>
    <mergeCell ref="M11:N11"/>
    <mergeCell ref="B10:C10"/>
    <mergeCell ref="G10:H10"/>
    <mergeCell ref="I10:J10"/>
    <mergeCell ref="K10:L10"/>
    <mergeCell ref="M10:N10"/>
    <mergeCell ref="O10:P10"/>
    <mergeCell ref="O9:P9"/>
    <mergeCell ref="Q9:R9"/>
    <mergeCell ref="S9:T9"/>
    <mergeCell ref="U9:V9"/>
    <mergeCell ref="W9:Z9"/>
    <mergeCell ref="AA9:AB9"/>
    <mergeCell ref="Q8:R8"/>
    <mergeCell ref="S8:T8"/>
    <mergeCell ref="U8:V8"/>
    <mergeCell ref="W8:Z8"/>
    <mergeCell ref="AA8:AB8"/>
    <mergeCell ref="B9:C9"/>
    <mergeCell ref="G9:H9"/>
    <mergeCell ref="I9:J9"/>
    <mergeCell ref="K9:L9"/>
    <mergeCell ref="M9:N9"/>
    <mergeCell ref="B8:C8"/>
    <mergeCell ref="G8:H8"/>
    <mergeCell ref="I8:J8"/>
    <mergeCell ref="K8:L8"/>
    <mergeCell ref="M8:N8"/>
    <mergeCell ref="O8:P8"/>
    <mergeCell ref="B6:E6"/>
    <mergeCell ref="F6:J6"/>
    <mergeCell ref="K6:P6"/>
    <mergeCell ref="Q6:V6"/>
    <mergeCell ref="B7:E7"/>
    <mergeCell ref="F7:J7"/>
    <mergeCell ref="K7:P7"/>
    <mergeCell ref="Q7:V7"/>
    <mergeCell ref="B4:E4"/>
    <mergeCell ref="F4:J4"/>
    <mergeCell ref="K4:P4"/>
    <mergeCell ref="Q4:V4"/>
    <mergeCell ref="B5:E5"/>
    <mergeCell ref="F5:J5"/>
    <mergeCell ref="K5:P5"/>
    <mergeCell ref="Q5:V5"/>
    <mergeCell ref="X2:Y2"/>
    <mergeCell ref="Z2:AA2"/>
    <mergeCell ref="B3:E3"/>
    <mergeCell ref="F3:J3"/>
    <mergeCell ref="K3:P3"/>
    <mergeCell ref="Q3:V3"/>
    <mergeCell ref="A1:AB1"/>
    <mergeCell ref="A2:G2"/>
    <mergeCell ref="H2:I2"/>
    <mergeCell ref="J2:K2"/>
    <mergeCell ref="L2:M2"/>
    <mergeCell ref="N2:O2"/>
    <mergeCell ref="P2:Q2"/>
    <mergeCell ref="R2:S2"/>
    <mergeCell ref="T2:U2"/>
    <mergeCell ref="V2:W2"/>
  </mergeCells>
  <printOptions/>
  <pageMargins left="0.39" right="0.39" top="0.98" bottom="0.59" header="0.51" footer="0.51"/>
  <pageSetup horizontalDpi="600" verticalDpi="600" orientation="landscape" paperSize="9"/>
  <headerFooter alignWithMargins="0">
    <oddFooter>&amp;L&amp;11编制：                                                                           复核：</oddFooter>
  </headerFooter>
</worksheet>
</file>

<file path=xl/worksheets/sheet17.xml><?xml version="1.0" encoding="utf-8"?>
<worksheet xmlns="http://schemas.openxmlformats.org/spreadsheetml/2006/main" xmlns:r="http://schemas.openxmlformats.org/officeDocument/2006/relationships">
  <sheetPr>
    <tabColor indexed="49"/>
  </sheetPr>
  <dimension ref="A1:N125"/>
  <sheetViews>
    <sheetView zoomScalePageLayoutView="0" workbookViewId="0" topLeftCell="A1">
      <pane xSplit="6" ySplit="4" topLeftCell="G65" activePane="bottomRight" state="frozen"/>
      <selection pane="topLeft" activeCell="A1" sqref="A1"/>
      <selection pane="topRight" activeCell="A1" sqref="A1"/>
      <selection pane="bottomLeft" activeCell="A1" sqref="A1"/>
      <selection pane="bottomRight" activeCell="S10" sqref="S10"/>
    </sheetView>
  </sheetViews>
  <sheetFormatPr defaultColWidth="9.00390625" defaultRowHeight="14.25"/>
  <cols>
    <col min="1" max="1" width="10.75390625" style="4" customWidth="1"/>
    <col min="2" max="2" width="26.125" style="5" customWidth="1"/>
    <col min="3" max="3" width="9.625" style="4" customWidth="1"/>
    <col min="4" max="4" width="8.875" style="4" customWidth="1"/>
    <col min="5" max="5" width="7.50390625" style="4" customWidth="1"/>
    <col min="6" max="6" width="11.00390625" style="4" customWidth="1"/>
    <col min="7" max="7" width="9.25390625" style="4" customWidth="1"/>
    <col min="8" max="8" width="10.125" style="4" customWidth="1"/>
    <col min="9" max="9" width="10.125" style="6" customWidth="1"/>
    <col min="10" max="10" width="10.125" style="4" customWidth="1"/>
    <col min="11" max="11" width="10.125" style="7" customWidth="1"/>
    <col min="12" max="13" width="9.00390625" style="8" hidden="1" customWidth="1"/>
    <col min="14" max="14" width="12.00390625" style="8" hidden="1" customWidth="1"/>
    <col min="15" max="16384" width="9.00390625" style="8" customWidth="1"/>
  </cols>
  <sheetData>
    <row r="1" spans="1:11" ht="26.25" customHeight="1">
      <c r="A1" s="469" t="s">
        <v>443</v>
      </c>
      <c r="B1" s="469"/>
      <c r="C1" s="469"/>
      <c r="D1" s="469"/>
      <c r="E1" s="469"/>
      <c r="F1" s="469"/>
      <c r="G1" s="469"/>
      <c r="H1" s="469"/>
      <c r="I1" s="469"/>
      <c r="J1" s="469"/>
      <c r="K1" s="469"/>
    </row>
    <row r="2" spans="1:11" ht="18.75" customHeight="1">
      <c r="A2" s="469"/>
      <c r="B2" s="469"/>
      <c r="C2" s="469"/>
      <c r="D2" s="469"/>
      <c r="E2" s="469"/>
      <c r="F2" s="469"/>
      <c r="G2" s="469"/>
      <c r="H2" s="469"/>
      <c r="I2" s="469"/>
      <c r="J2" s="469"/>
      <c r="K2" s="469"/>
    </row>
    <row r="3" spans="1:11" s="1" customFormat="1" ht="31.5" customHeight="1">
      <c r="A3" s="453" t="s">
        <v>13</v>
      </c>
      <c r="B3" s="470" t="s">
        <v>14</v>
      </c>
      <c r="C3" s="453" t="s">
        <v>15</v>
      </c>
      <c r="D3" s="453" t="s">
        <v>16</v>
      </c>
      <c r="E3" s="452"/>
      <c r="F3" s="470" t="s">
        <v>17</v>
      </c>
      <c r="G3" s="470" t="s">
        <v>18</v>
      </c>
      <c r="H3" s="470" t="s">
        <v>19</v>
      </c>
      <c r="I3" s="471"/>
      <c r="J3" s="470" t="s">
        <v>20</v>
      </c>
      <c r="K3" s="471"/>
    </row>
    <row r="4" spans="1:11" s="1" customFormat="1" ht="31.5" customHeight="1">
      <c r="A4" s="452"/>
      <c r="B4" s="471"/>
      <c r="C4" s="452"/>
      <c r="D4" s="9" t="s">
        <v>21</v>
      </c>
      <c r="E4" s="9" t="s">
        <v>22</v>
      </c>
      <c r="F4" s="471"/>
      <c r="G4" s="471"/>
      <c r="H4" s="10" t="s">
        <v>444</v>
      </c>
      <c r="I4" s="28" t="s">
        <v>445</v>
      </c>
      <c r="J4" s="10" t="s">
        <v>444</v>
      </c>
      <c r="K4" s="29" t="s">
        <v>445</v>
      </c>
    </row>
    <row r="5" spans="1:14" s="1" customFormat="1" ht="31.5" customHeight="1">
      <c r="A5" s="12" t="s">
        <v>25</v>
      </c>
      <c r="B5" s="13" t="s">
        <v>446</v>
      </c>
      <c r="C5" s="12" t="s">
        <v>27</v>
      </c>
      <c r="D5" s="12">
        <v>3.45</v>
      </c>
      <c r="E5" s="12"/>
      <c r="F5" s="14">
        <f>'9-特殊路基处理'!F16</f>
        <v>3770</v>
      </c>
      <c r="G5" s="14">
        <v>0</v>
      </c>
      <c r="H5" s="11">
        <v>0</v>
      </c>
      <c r="I5" s="30">
        <f aca="true" t="shared" si="0" ref="I5:I70">F5</f>
        <v>3770</v>
      </c>
      <c r="J5" s="11">
        <v>0</v>
      </c>
      <c r="K5" s="31">
        <f>ROUND(I5*D5,0)</f>
        <v>13007</v>
      </c>
      <c r="L5" s="1">
        <v>5649</v>
      </c>
      <c r="M5" s="1">
        <v>1879</v>
      </c>
      <c r="N5" s="1">
        <f>L5-M5</f>
        <v>3770</v>
      </c>
    </row>
    <row r="6" spans="1:14" s="1" customFormat="1" ht="31.5" customHeight="1">
      <c r="A6" s="12" t="s">
        <v>28</v>
      </c>
      <c r="B6" s="13" t="s">
        <v>29</v>
      </c>
      <c r="C6" s="12" t="s">
        <v>30</v>
      </c>
      <c r="D6" s="12">
        <v>176.47</v>
      </c>
      <c r="E6" s="12"/>
      <c r="F6" s="14">
        <f>'12-南珠桥'!Y43</f>
        <v>20</v>
      </c>
      <c r="G6" s="14">
        <v>0</v>
      </c>
      <c r="H6" s="11">
        <v>0</v>
      </c>
      <c r="I6" s="30">
        <f t="shared" si="0"/>
        <v>20</v>
      </c>
      <c r="J6" s="11">
        <v>0</v>
      </c>
      <c r="K6" s="31">
        <f aca="true" t="shared" si="1" ref="K6:K69">ROUND(I6*D6,0)</f>
        <v>3529</v>
      </c>
      <c r="L6" s="1">
        <v>20</v>
      </c>
      <c r="N6" s="1">
        <f aca="true" t="shared" si="2" ref="N6:N69">L6-M6</f>
        <v>20</v>
      </c>
    </row>
    <row r="7" spans="1:14" s="1" customFormat="1" ht="31.5" customHeight="1">
      <c r="A7" s="12" t="s">
        <v>31</v>
      </c>
      <c r="B7" s="13" t="s">
        <v>32</v>
      </c>
      <c r="C7" s="12" t="s">
        <v>30</v>
      </c>
      <c r="D7" s="12">
        <v>82.18</v>
      </c>
      <c r="E7" s="12"/>
      <c r="F7" s="14">
        <f>'12-南珠桥'!Y44</f>
        <v>480</v>
      </c>
      <c r="G7" s="14">
        <v>0</v>
      </c>
      <c r="H7" s="11">
        <v>0</v>
      </c>
      <c r="I7" s="30">
        <f t="shared" si="0"/>
        <v>480</v>
      </c>
      <c r="J7" s="11">
        <v>0</v>
      </c>
      <c r="K7" s="31">
        <f t="shared" si="1"/>
        <v>39446</v>
      </c>
      <c r="L7" s="1">
        <v>480</v>
      </c>
      <c r="N7" s="1">
        <f t="shared" si="2"/>
        <v>480</v>
      </c>
    </row>
    <row r="8" spans="1:14" s="2" customFormat="1" ht="31.5" customHeight="1">
      <c r="A8" s="12" t="s">
        <v>33</v>
      </c>
      <c r="B8" s="13" t="s">
        <v>34</v>
      </c>
      <c r="C8" s="12" t="s">
        <v>30</v>
      </c>
      <c r="D8" s="12">
        <v>19.43</v>
      </c>
      <c r="E8" s="12"/>
      <c r="F8" s="14">
        <f>'11-路基土石方'!C63+'7-路面工程'!AC25</f>
        <v>3119</v>
      </c>
      <c r="G8" s="14">
        <v>0</v>
      </c>
      <c r="H8" s="14">
        <v>0</v>
      </c>
      <c r="I8" s="15">
        <f t="shared" si="0"/>
        <v>3119</v>
      </c>
      <c r="J8" s="14">
        <v>0</v>
      </c>
      <c r="K8" s="31">
        <f t="shared" si="1"/>
        <v>60602</v>
      </c>
      <c r="L8" s="2">
        <v>4733</v>
      </c>
      <c r="M8" s="2">
        <v>1614</v>
      </c>
      <c r="N8" s="1">
        <f t="shared" si="2"/>
        <v>3119</v>
      </c>
    </row>
    <row r="9" spans="1:14" s="2" customFormat="1" ht="31.5" customHeight="1">
      <c r="A9" s="12" t="s">
        <v>35</v>
      </c>
      <c r="B9" s="13" t="s">
        <v>447</v>
      </c>
      <c r="C9" s="12" t="s">
        <v>30</v>
      </c>
      <c r="D9" s="12">
        <v>73.68</v>
      </c>
      <c r="E9" s="12"/>
      <c r="F9" s="14">
        <f>'9-特殊路基处理'!I16</f>
        <v>118</v>
      </c>
      <c r="G9" s="14">
        <v>0</v>
      </c>
      <c r="H9" s="14">
        <v>0</v>
      </c>
      <c r="I9" s="15">
        <f t="shared" si="0"/>
        <v>118</v>
      </c>
      <c r="J9" s="14">
        <v>0</v>
      </c>
      <c r="K9" s="31">
        <f t="shared" si="1"/>
        <v>8694</v>
      </c>
      <c r="L9" s="2">
        <v>118</v>
      </c>
      <c r="M9" s="2">
        <v>0</v>
      </c>
      <c r="N9" s="1">
        <f t="shared" si="2"/>
        <v>118</v>
      </c>
    </row>
    <row r="10" spans="1:14" s="2" customFormat="1" ht="31.5" customHeight="1">
      <c r="A10" s="12" t="s">
        <v>37</v>
      </c>
      <c r="B10" s="13" t="s">
        <v>38</v>
      </c>
      <c r="C10" s="12" t="s">
        <v>30</v>
      </c>
      <c r="D10" s="12">
        <v>7.41</v>
      </c>
      <c r="E10" s="12"/>
      <c r="F10" s="14">
        <f>'11-路基土石方'!D63</f>
        <v>2089</v>
      </c>
      <c r="G10" s="14">
        <v>0</v>
      </c>
      <c r="H10" s="14">
        <v>0</v>
      </c>
      <c r="I10" s="15">
        <f t="shared" si="0"/>
        <v>2089</v>
      </c>
      <c r="J10" s="14">
        <v>0</v>
      </c>
      <c r="K10" s="31">
        <f t="shared" si="1"/>
        <v>15479</v>
      </c>
      <c r="L10" s="2">
        <v>2176</v>
      </c>
      <c r="M10" s="2">
        <v>87</v>
      </c>
      <c r="N10" s="1">
        <f t="shared" si="2"/>
        <v>2089</v>
      </c>
    </row>
    <row r="11" spans="1:14" s="2" customFormat="1" ht="31.5" customHeight="1">
      <c r="A11" s="12" t="s">
        <v>39</v>
      </c>
      <c r="B11" s="13" t="s">
        <v>40</v>
      </c>
      <c r="C11" s="12" t="s">
        <v>30</v>
      </c>
      <c r="D11" s="12">
        <v>60.32</v>
      </c>
      <c r="E11" s="12"/>
      <c r="F11" s="14">
        <f>'11-路基土石方'!E63+'7-路面工程'!AD25</f>
        <v>7285</v>
      </c>
      <c r="G11" s="14">
        <v>0</v>
      </c>
      <c r="H11" s="14">
        <v>0</v>
      </c>
      <c r="I11" s="15">
        <f t="shared" si="0"/>
        <v>7285</v>
      </c>
      <c r="J11" s="14">
        <v>0</v>
      </c>
      <c r="K11" s="31">
        <f t="shared" si="1"/>
        <v>439431</v>
      </c>
      <c r="L11" s="2">
        <v>9314</v>
      </c>
      <c r="M11" s="2">
        <v>2029</v>
      </c>
      <c r="N11" s="1">
        <f t="shared" si="2"/>
        <v>7285</v>
      </c>
    </row>
    <row r="12" spans="1:14" s="2" customFormat="1" ht="31.5" customHeight="1">
      <c r="A12" s="12" t="s">
        <v>41</v>
      </c>
      <c r="B12" s="13" t="s">
        <v>42</v>
      </c>
      <c r="C12" s="12" t="s">
        <v>30</v>
      </c>
      <c r="D12" s="12">
        <v>65.71</v>
      </c>
      <c r="E12" s="12"/>
      <c r="F12" s="14">
        <f>'12-南珠桥'!Y46</f>
        <v>1377</v>
      </c>
      <c r="G12" s="14">
        <v>0</v>
      </c>
      <c r="H12" s="14">
        <v>0</v>
      </c>
      <c r="I12" s="15">
        <f t="shared" si="0"/>
        <v>1377</v>
      </c>
      <c r="J12" s="14">
        <v>0</v>
      </c>
      <c r="K12" s="31">
        <f t="shared" si="1"/>
        <v>90483</v>
      </c>
      <c r="L12" s="2">
        <v>1377</v>
      </c>
      <c r="M12" s="2">
        <v>0</v>
      </c>
      <c r="N12" s="1">
        <f t="shared" si="2"/>
        <v>1377</v>
      </c>
    </row>
    <row r="13" spans="1:14" s="2" customFormat="1" ht="31.5" customHeight="1">
      <c r="A13" s="12" t="s">
        <v>43</v>
      </c>
      <c r="B13" s="13" t="s">
        <v>44</v>
      </c>
      <c r="C13" s="12" t="s">
        <v>30</v>
      </c>
      <c r="D13" s="12">
        <v>86.99</v>
      </c>
      <c r="E13" s="12"/>
      <c r="F13" s="14">
        <f>'12-南珠桥'!Y40</f>
        <v>193.61</v>
      </c>
      <c r="G13" s="14">
        <v>0</v>
      </c>
      <c r="H13" s="14">
        <v>0</v>
      </c>
      <c r="I13" s="15">
        <f t="shared" si="0"/>
        <v>193.61</v>
      </c>
      <c r="J13" s="14">
        <v>0</v>
      </c>
      <c r="K13" s="31">
        <f t="shared" si="1"/>
        <v>16842</v>
      </c>
      <c r="L13" s="2">
        <v>193.61</v>
      </c>
      <c r="M13" s="2">
        <v>0</v>
      </c>
      <c r="N13" s="1">
        <f t="shared" si="2"/>
        <v>193.61</v>
      </c>
    </row>
    <row r="14" spans="1:14" s="2" customFormat="1" ht="31.5" customHeight="1">
      <c r="A14" s="12" t="s">
        <v>45</v>
      </c>
      <c r="B14" s="13" t="s">
        <v>46</v>
      </c>
      <c r="C14" s="12" t="s">
        <v>27</v>
      </c>
      <c r="D14" s="12">
        <v>12.4</v>
      </c>
      <c r="E14" s="12"/>
      <c r="F14" s="14">
        <f>'12-南珠桥'!Y45</f>
        <v>642</v>
      </c>
      <c r="G14" s="14">
        <v>0</v>
      </c>
      <c r="H14" s="14">
        <v>0</v>
      </c>
      <c r="I14" s="15">
        <f t="shared" si="0"/>
        <v>642</v>
      </c>
      <c r="J14" s="14">
        <v>0</v>
      </c>
      <c r="K14" s="31">
        <f t="shared" si="1"/>
        <v>7961</v>
      </c>
      <c r="L14" s="2">
        <v>642</v>
      </c>
      <c r="M14" s="2">
        <v>0</v>
      </c>
      <c r="N14" s="1">
        <f t="shared" si="2"/>
        <v>642</v>
      </c>
    </row>
    <row r="15" spans="1:14" s="2" customFormat="1" ht="31.5" customHeight="1">
      <c r="A15" s="12" t="s">
        <v>47</v>
      </c>
      <c r="B15" s="13" t="s">
        <v>448</v>
      </c>
      <c r="C15" s="12" t="s">
        <v>30</v>
      </c>
      <c r="D15" s="12">
        <v>378.61</v>
      </c>
      <c r="E15" s="12"/>
      <c r="F15" s="15">
        <f>'6-排水工程 '!M41+'6-排水工程 '!R41+'6-排水工程 '!T41+'6-排水工程 '!X41</f>
        <v>242.7707142857143</v>
      </c>
      <c r="G15" s="14">
        <v>0</v>
      </c>
      <c r="H15" s="14">
        <v>0</v>
      </c>
      <c r="I15" s="15">
        <f t="shared" si="0"/>
        <v>242.7707142857143</v>
      </c>
      <c r="J15" s="14">
        <v>0</v>
      </c>
      <c r="K15" s="31">
        <f t="shared" si="1"/>
        <v>91915</v>
      </c>
      <c r="L15" s="2">
        <v>308.69</v>
      </c>
      <c r="M15" s="2">
        <v>65.92</v>
      </c>
      <c r="N15" s="1">
        <f t="shared" si="2"/>
        <v>242.76999999999998</v>
      </c>
    </row>
    <row r="16" spans="1:14" s="2" customFormat="1" ht="31.5" customHeight="1">
      <c r="A16" s="12" t="s">
        <v>49</v>
      </c>
      <c r="B16" s="13" t="s">
        <v>449</v>
      </c>
      <c r="C16" s="12" t="s">
        <v>51</v>
      </c>
      <c r="D16" s="12">
        <v>701.18</v>
      </c>
      <c r="E16" s="12"/>
      <c r="F16" s="16">
        <v>115</v>
      </c>
      <c r="G16" s="14">
        <v>0</v>
      </c>
      <c r="H16" s="14">
        <v>0</v>
      </c>
      <c r="I16" s="15">
        <f>'6-排水工程 '!D41</f>
        <v>115</v>
      </c>
      <c r="J16" s="14">
        <v>0</v>
      </c>
      <c r="K16" s="31">
        <f t="shared" si="1"/>
        <v>80636</v>
      </c>
      <c r="L16" s="2">
        <v>133</v>
      </c>
      <c r="M16" s="2">
        <v>18</v>
      </c>
      <c r="N16" s="1">
        <f t="shared" si="2"/>
        <v>115</v>
      </c>
    </row>
    <row r="17" spans="1:14" s="2" customFormat="1" ht="31.5" customHeight="1">
      <c r="A17" s="12" t="s">
        <v>52</v>
      </c>
      <c r="B17" s="13" t="s">
        <v>53</v>
      </c>
      <c r="C17" s="12" t="s">
        <v>27</v>
      </c>
      <c r="D17" s="12">
        <v>13.5</v>
      </c>
      <c r="E17" s="12"/>
      <c r="F17" s="14">
        <f>'5-防护工程'!V24+'6-排水工程 '!Q41</f>
        <v>591.12</v>
      </c>
      <c r="G17" s="14">
        <v>0</v>
      </c>
      <c r="H17" s="14">
        <v>0</v>
      </c>
      <c r="I17" s="15">
        <f t="shared" si="0"/>
        <v>591.12</v>
      </c>
      <c r="J17" s="14">
        <v>0</v>
      </c>
      <c r="K17" s="31">
        <f t="shared" si="1"/>
        <v>7980</v>
      </c>
      <c r="L17" s="2">
        <v>1471.45</v>
      </c>
      <c r="M17" s="2">
        <v>880.33</v>
      </c>
      <c r="N17" s="1">
        <f t="shared" si="2"/>
        <v>591.12</v>
      </c>
    </row>
    <row r="18" spans="1:14" s="2" customFormat="1" ht="31.5" customHeight="1">
      <c r="A18" s="12" t="s">
        <v>54</v>
      </c>
      <c r="B18" s="13" t="s">
        <v>55</v>
      </c>
      <c r="C18" s="12" t="s">
        <v>30</v>
      </c>
      <c r="D18" s="12">
        <v>340.67</v>
      </c>
      <c r="E18" s="12"/>
      <c r="F18" s="15">
        <f>'5-防护工程'!E24</f>
        <v>1688.0542857142857</v>
      </c>
      <c r="G18" s="14">
        <v>0</v>
      </c>
      <c r="H18" s="14">
        <v>0</v>
      </c>
      <c r="I18" s="15">
        <f t="shared" si="0"/>
        <v>1688.0542857142857</v>
      </c>
      <c r="J18" s="14">
        <v>0</v>
      </c>
      <c r="K18" s="31">
        <f t="shared" si="1"/>
        <v>575069</v>
      </c>
      <c r="L18" s="2">
        <v>1784.29</v>
      </c>
      <c r="M18" s="2">
        <v>96.24</v>
      </c>
      <c r="N18" s="1">
        <f t="shared" si="2"/>
        <v>1688.05</v>
      </c>
    </row>
    <row r="19" spans="1:14" s="2" customFormat="1" ht="31.5" customHeight="1">
      <c r="A19" s="12" t="s">
        <v>56</v>
      </c>
      <c r="B19" s="13" t="s">
        <v>450</v>
      </c>
      <c r="C19" s="12" t="s">
        <v>30</v>
      </c>
      <c r="D19" s="12">
        <v>328.56</v>
      </c>
      <c r="E19" s="12"/>
      <c r="F19" s="15">
        <f>'5-防护工程'!I24+'5-防护工程'!N24</f>
        <v>1943.08696</v>
      </c>
      <c r="G19" s="14">
        <v>0</v>
      </c>
      <c r="H19" s="14">
        <v>0</v>
      </c>
      <c r="I19" s="15">
        <f t="shared" si="0"/>
        <v>1943.08696</v>
      </c>
      <c r="J19" s="14">
        <v>0</v>
      </c>
      <c r="K19" s="31">
        <f t="shared" si="1"/>
        <v>638421</v>
      </c>
      <c r="L19" s="2">
        <v>2182.28</v>
      </c>
      <c r="M19" s="2">
        <v>239.19</v>
      </c>
      <c r="N19" s="1">
        <f t="shared" si="2"/>
        <v>1943.0900000000001</v>
      </c>
    </row>
    <row r="20" spans="1:14" s="2" customFormat="1" ht="31.5" customHeight="1">
      <c r="A20" s="12" t="s">
        <v>58</v>
      </c>
      <c r="B20" s="13" t="s">
        <v>59</v>
      </c>
      <c r="C20" s="12" t="s">
        <v>30</v>
      </c>
      <c r="D20" s="12">
        <v>199.36</v>
      </c>
      <c r="E20" s="12"/>
      <c r="F20" s="15">
        <f>'5-防护工程'!T24</f>
        <v>374.09999999999997</v>
      </c>
      <c r="G20" s="14">
        <v>0</v>
      </c>
      <c r="H20" s="14">
        <v>0</v>
      </c>
      <c r="I20" s="15">
        <f t="shared" si="0"/>
        <v>374.09999999999997</v>
      </c>
      <c r="J20" s="14">
        <v>0</v>
      </c>
      <c r="K20" s="31">
        <f t="shared" si="1"/>
        <v>74581</v>
      </c>
      <c r="L20" s="2">
        <v>374.1</v>
      </c>
      <c r="M20" s="2">
        <v>0</v>
      </c>
      <c r="N20" s="1">
        <f t="shared" si="2"/>
        <v>374.1</v>
      </c>
    </row>
    <row r="21" spans="1:14" s="2" customFormat="1" ht="31.5" customHeight="1">
      <c r="A21" s="12" t="s">
        <v>60</v>
      </c>
      <c r="B21" s="14" t="s">
        <v>451</v>
      </c>
      <c r="C21" s="12" t="s">
        <v>30</v>
      </c>
      <c r="D21" s="12">
        <v>376.18</v>
      </c>
      <c r="E21" s="12"/>
      <c r="F21" s="15">
        <f>'5-防护工程'!L24</f>
        <v>44.6</v>
      </c>
      <c r="G21" s="14">
        <v>0</v>
      </c>
      <c r="H21" s="14">
        <v>0</v>
      </c>
      <c r="I21" s="15">
        <f t="shared" si="0"/>
        <v>44.6</v>
      </c>
      <c r="J21" s="14">
        <v>0</v>
      </c>
      <c r="K21" s="31">
        <f t="shared" si="1"/>
        <v>16778</v>
      </c>
      <c r="L21" s="2">
        <v>44.6</v>
      </c>
      <c r="M21" s="2">
        <v>0</v>
      </c>
      <c r="N21" s="1">
        <f t="shared" si="2"/>
        <v>44.6</v>
      </c>
    </row>
    <row r="22" spans="1:14" s="2" customFormat="1" ht="31.5" customHeight="1">
      <c r="A22" s="12" t="s">
        <v>62</v>
      </c>
      <c r="B22" s="13" t="s">
        <v>63</v>
      </c>
      <c r="C22" s="12" t="s">
        <v>30</v>
      </c>
      <c r="D22" s="12">
        <v>114.76</v>
      </c>
      <c r="E22" s="12"/>
      <c r="F22" s="15">
        <f>'5-防护工程'!M24+'12-南珠桥'!Y39</f>
        <v>28.83</v>
      </c>
      <c r="G22" s="14">
        <v>0</v>
      </c>
      <c r="H22" s="14">
        <v>0</v>
      </c>
      <c r="I22" s="15">
        <f t="shared" si="0"/>
        <v>28.83</v>
      </c>
      <c r="J22" s="14">
        <v>0</v>
      </c>
      <c r="K22" s="31">
        <f t="shared" si="1"/>
        <v>3309</v>
      </c>
      <c r="L22" s="2">
        <v>28.83</v>
      </c>
      <c r="M22" s="2">
        <v>0</v>
      </c>
      <c r="N22" s="1">
        <f t="shared" si="2"/>
        <v>28.83</v>
      </c>
    </row>
    <row r="23" spans="1:14" s="2" customFormat="1" ht="31.5" customHeight="1">
      <c r="A23" s="12" t="s">
        <v>64</v>
      </c>
      <c r="B23" s="13" t="s">
        <v>452</v>
      </c>
      <c r="C23" s="12" t="s">
        <v>27</v>
      </c>
      <c r="D23" s="12">
        <v>49.68</v>
      </c>
      <c r="E23" s="12"/>
      <c r="F23" s="15">
        <f>'7-路面工程'!I25</f>
        <v>10298</v>
      </c>
      <c r="G23" s="14">
        <v>0</v>
      </c>
      <c r="H23" s="14">
        <v>0</v>
      </c>
      <c r="I23" s="15">
        <f t="shared" si="0"/>
        <v>10298</v>
      </c>
      <c r="J23" s="14">
        <v>0</v>
      </c>
      <c r="K23" s="31">
        <f t="shared" si="1"/>
        <v>511605</v>
      </c>
      <c r="L23" s="2">
        <v>14832.7</v>
      </c>
      <c r="M23" s="2">
        <v>4534.7</v>
      </c>
      <c r="N23" s="1">
        <f t="shared" si="2"/>
        <v>10298</v>
      </c>
    </row>
    <row r="24" spans="1:14" s="2" customFormat="1" ht="31.5" customHeight="1">
      <c r="A24" s="12" t="s">
        <v>66</v>
      </c>
      <c r="B24" s="13" t="s">
        <v>453</v>
      </c>
      <c r="C24" s="12" t="s">
        <v>27</v>
      </c>
      <c r="D24" s="12">
        <v>9.21</v>
      </c>
      <c r="E24" s="12"/>
      <c r="F24" s="14">
        <f>'7-路面工程'!O25</f>
        <v>5454</v>
      </c>
      <c r="G24" s="14">
        <v>0</v>
      </c>
      <c r="H24" s="14">
        <v>0</v>
      </c>
      <c r="I24" s="15">
        <f t="shared" si="0"/>
        <v>5454</v>
      </c>
      <c r="J24" s="14">
        <v>0</v>
      </c>
      <c r="K24" s="31">
        <f t="shared" si="1"/>
        <v>50231</v>
      </c>
      <c r="L24" s="2">
        <v>6262</v>
      </c>
      <c r="M24" s="2">
        <v>808</v>
      </c>
      <c r="N24" s="1">
        <f t="shared" si="2"/>
        <v>5454</v>
      </c>
    </row>
    <row r="25" spans="1:14" s="2" customFormat="1" ht="31.5" customHeight="1">
      <c r="A25" s="12" t="s">
        <v>68</v>
      </c>
      <c r="B25" s="13" t="s">
        <v>454</v>
      </c>
      <c r="C25" s="12" t="s">
        <v>27</v>
      </c>
      <c r="D25" s="12">
        <v>24.23</v>
      </c>
      <c r="E25" s="12"/>
      <c r="F25" s="14">
        <f>'7-路面工程'!M25</f>
        <v>5454</v>
      </c>
      <c r="G25" s="14">
        <v>0</v>
      </c>
      <c r="H25" s="14">
        <v>0</v>
      </c>
      <c r="I25" s="15">
        <f t="shared" si="0"/>
        <v>5454</v>
      </c>
      <c r="J25" s="14">
        <v>0</v>
      </c>
      <c r="K25" s="31">
        <f t="shared" si="1"/>
        <v>132150</v>
      </c>
      <c r="L25" s="2">
        <v>6262</v>
      </c>
      <c r="M25" s="2">
        <v>808</v>
      </c>
      <c r="N25" s="1">
        <f t="shared" si="2"/>
        <v>5454</v>
      </c>
    </row>
    <row r="26" spans="1:14" s="2" customFormat="1" ht="31.5" customHeight="1">
      <c r="A26" s="12" t="s">
        <v>70</v>
      </c>
      <c r="B26" s="13" t="s">
        <v>455</v>
      </c>
      <c r="C26" s="12" t="s">
        <v>27</v>
      </c>
      <c r="D26" s="12">
        <v>32.31</v>
      </c>
      <c r="E26" s="12"/>
      <c r="F26" s="14">
        <f>'7-路面工程'!K25</f>
        <v>5494.4</v>
      </c>
      <c r="G26" s="14">
        <v>0</v>
      </c>
      <c r="H26" s="14">
        <v>0</v>
      </c>
      <c r="I26" s="15">
        <f t="shared" si="0"/>
        <v>5494.4</v>
      </c>
      <c r="J26" s="14">
        <v>0</v>
      </c>
      <c r="K26" s="31">
        <f t="shared" si="1"/>
        <v>177524</v>
      </c>
      <c r="L26" s="2">
        <v>9480.5</v>
      </c>
      <c r="M26" s="2">
        <v>3986.1</v>
      </c>
      <c r="N26" s="1">
        <f t="shared" si="2"/>
        <v>5494.4</v>
      </c>
    </row>
    <row r="27" spans="1:14" s="2" customFormat="1" ht="31.5" customHeight="1">
      <c r="A27" s="12" t="s">
        <v>72</v>
      </c>
      <c r="B27" s="13" t="s">
        <v>456</v>
      </c>
      <c r="C27" s="12" t="s">
        <v>27</v>
      </c>
      <c r="D27" s="12">
        <v>25.3</v>
      </c>
      <c r="E27" s="12"/>
      <c r="F27" s="14">
        <f>'7-路面工程'!U25+'7-路面工程'!AB25</f>
        <v>853.9000000000001</v>
      </c>
      <c r="G27" s="14">
        <v>0</v>
      </c>
      <c r="H27" s="14">
        <v>0</v>
      </c>
      <c r="I27" s="15">
        <f t="shared" si="0"/>
        <v>853.9000000000001</v>
      </c>
      <c r="J27" s="14">
        <v>0</v>
      </c>
      <c r="K27" s="31">
        <f t="shared" si="1"/>
        <v>21604</v>
      </c>
      <c r="L27" s="2">
        <v>1317.4</v>
      </c>
      <c r="M27" s="2">
        <v>463.5</v>
      </c>
      <c r="N27" s="1">
        <f t="shared" si="2"/>
        <v>853.9000000000001</v>
      </c>
    </row>
    <row r="28" spans="1:14" s="2" customFormat="1" ht="31.5" customHeight="1">
      <c r="A28" s="12" t="s">
        <v>74</v>
      </c>
      <c r="B28" s="13" t="s">
        <v>75</v>
      </c>
      <c r="C28" s="12" t="s">
        <v>27</v>
      </c>
      <c r="D28" s="12">
        <v>8.88</v>
      </c>
      <c r="E28" s="12"/>
      <c r="F28" s="14">
        <f>'7-路面工程'!G25</f>
        <v>10623.2</v>
      </c>
      <c r="G28" s="14">
        <v>0</v>
      </c>
      <c r="H28" s="14">
        <v>0</v>
      </c>
      <c r="I28" s="15">
        <f t="shared" si="0"/>
        <v>10623.2</v>
      </c>
      <c r="J28" s="14">
        <v>0</v>
      </c>
      <c r="K28" s="31">
        <f t="shared" si="1"/>
        <v>94334</v>
      </c>
      <c r="L28" s="2">
        <v>15173.6</v>
      </c>
      <c r="M28" s="2">
        <v>4550.4</v>
      </c>
      <c r="N28" s="1">
        <f t="shared" si="2"/>
        <v>10623.2</v>
      </c>
    </row>
    <row r="29" spans="1:14" s="2" customFormat="1" ht="31.5" customHeight="1">
      <c r="A29" s="12" t="s">
        <v>76</v>
      </c>
      <c r="B29" s="13" t="s">
        <v>457</v>
      </c>
      <c r="C29" s="12" t="s">
        <v>27</v>
      </c>
      <c r="D29" s="12">
        <v>87.26</v>
      </c>
      <c r="E29" s="12"/>
      <c r="F29" s="14">
        <f>'7-路面工程'!AA25</f>
        <v>284.21999999999997</v>
      </c>
      <c r="G29" s="14">
        <v>0</v>
      </c>
      <c r="H29" s="14">
        <v>0</v>
      </c>
      <c r="I29" s="15">
        <f t="shared" si="0"/>
        <v>284.21999999999997</v>
      </c>
      <c r="J29" s="14">
        <v>0</v>
      </c>
      <c r="K29" s="31">
        <f t="shared" si="1"/>
        <v>24801</v>
      </c>
      <c r="L29" s="2">
        <v>542.95</v>
      </c>
      <c r="M29" s="2">
        <v>258.73</v>
      </c>
      <c r="N29" s="1">
        <f t="shared" si="2"/>
        <v>284.22</v>
      </c>
    </row>
    <row r="30" spans="1:14" s="2" customFormat="1" ht="31.5" customHeight="1">
      <c r="A30" s="12" t="s">
        <v>78</v>
      </c>
      <c r="B30" s="13" t="s">
        <v>458</v>
      </c>
      <c r="C30" s="17" t="s">
        <v>27</v>
      </c>
      <c r="D30" s="18">
        <v>124.63</v>
      </c>
      <c r="E30" s="12"/>
      <c r="F30" s="14">
        <f>'7-路面工程'!E25</f>
        <v>9756</v>
      </c>
      <c r="G30" s="14">
        <v>0</v>
      </c>
      <c r="H30" s="14">
        <v>0</v>
      </c>
      <c r="I30" s="15">
        <f t="shared" si="0"/>
        <v>9756</v>
      </c>
      <c r="J30" s="14">
        <v>0</v>
      </c>
      <c r="K30" s="31">
        <f t="shared" si="1"/>
        <v>1215890</v>
      </c>
      <c r="L30" s="2">
        <v>14011.2</v>
      </c>
      <c r="M30" s="2">
        <v>4255.2</v>
      </c>
      <c r="N30" s="1">
        <f t="shared" si="2"/>
        <v>9756</v>
      </c>
    </row>
    <row r="31" spans="1:14" s="2" customFormat="1" ht="31.5" customHeight="1">
      <c r="A31" s="12" t="s">
        <v>80</v>
      </c>
      <c r="B31" s="13" t="s">
        <v>81</v>
      </c>
      <c r="C31" s="12" t="s">
        <v>30</v>
      </c>
      <c r="D31" s="12">
        <v>498</v>
      </c>
      <c r="E31" s="12"/>
      <c r="F31" s="14">
        <f>'7-路面工程'!Z25</f>
        <v>3.58</v>
      </c>
      <c r="G31" s="14">
        <v>0</v>
      </c>
      <c r="H31" s="14">
        <v>0</v>
      </c>
      <c r="I31" s="15">
        <f t="shared" si="0"/>
        <v>3.58</v>
      </c>
      <c r="J31" s="14">
        <v>0</v>
      </c>
      <c r="K31" s="31">
        <f t="shared" si="1"/>
        <v>1783</v>
      </c>
      <c r="L31" s="2">
        <v>3.58</v>
      </c>
      <c r="M31" s="2">
        <v>0</v>
      </c>
      <c r="N31" s="1">
        <f t="shared" si="2"/>
        <v>3.58</v>
      </c>
    </row>
    <row r="32" spans="1:14" s="2" customFormat="1" ht="31.5" customHeight="1">
      <c r="A32" s="14" t="s">
        <v>82</v>
      </c>
      <c r="B32" s="13" t="s">
        <v>459</v>
      </c>
      <c r="C32" s="17" t="s">
        <v>84</v>
      </c>
      <c r="D32" s="12">
        <v>6.58</v>
      </c>
      <c r="E32" s="12"/>
      <c r="F32" s="12">
        <f>'7-路面工程'!P25</f>
        <v>1520.3679650772333</v>
      </c>
      <c r="G32" s="14">
        <v>0</v>
      </c>
      <c r="H32" s="14">
        <v>0</v>
      </c>
      <c r="I32" s="15">
        <f t="shared" si="0"/>
        <v>1520.3679650772333</v>
      </c>
      <c r="J32" s="14">
        <v>0</v>
      </c>
      <c r="K32" s="31">
        <f t="shared" si="1"/>
        <v>10004</v>
      </c>
      <c r="L32" s="2">
        <v>1758</v>
      </c>
      <c r="M32" s="2">
        <v>237.63</v>
      </c>
      <c r="N32" s="1">
        <f t="shared" si="2"/>
        <v>1520.37</v>
      </c>
    </row>
    <row r="33" spans="1:14" s="2" customFormat="1" ht="31.5" customHeight="1">
      <c r="A33" s="14" t="s">
        <v>85</v>
      </c>
      <c r="B33" s="13" t="s">
        <v>460</v>
      </c>
      <c r="C33" s="17" t="s">
        <v>84</v>
      </c>
      <c r="D33" s="12">
        <v>6.01</v>
      </c>
      <c r="E33" s="12"/>
      <c r="F33" s="12">
        <f>'7-路面工程'!Q25</f>
        <v>5073.498455339154</v>
      </c>
      <c r="G33" s="14">
        <v>0</v>
      </c>
      <c r="H33" s="14">
        <v>0</v>
      </c>
      <c r="I33" s="15">
        <f t="shared" si="0"/>
        <v>5073.498455339154</v>
      </c>
      <c r="J33" s="14">
        <v>0</v>
      </c>
      <c r="K33" s="31">
        <f t="shared" si="1"/>
        <v>30492</v>
      </c>
      <c r="L33" s="2">
        <v>9148.8</v>
      </c>
      <c r="M33" s="2">
        <v>4075.3</v>
      </c>
      <c r="N33" s="1">
        <f t="shared" si="2"/>
        <v>5073.499999999999</v>
      </c>
    </row>
    <row r="34" spans="1:14" s="2" customFormat="1" ht="31.5" customHeight="1">
      <c r="A34" s="14" t="s">
        <v>87</v>
      </c>
      <c r="B34" s="13" t="s">
        <v>88</v>
      </c>
      <c r="C34" s="12" t="s">
        <v>30</v>
      </c>
      <c r="D34" s="12">
        <v>26.18</v>
      </c>
      <c r="E34" s="12"/>
      <c r="F34" s="12">
        <f>'7-路面工程'!V25</f>
        <v>54.2</v>
      </c>
      <c r="G34" s="14">
        <v>0</v>
      </c>
      <c r="H34" s="14">
        <v>0</v>
      </c>
      <c r="I34" s="15">
        <f t="shared" si="0"/>
        <v>54.2</v>
      </c>
      <c r="J34" s="14">
        <v>0</v>
      </c>
      <c r="K34" s="31">
        <f t="shared" si="1"/>
        <v>1419</v>
      </c>
      <c r="L34" s="2">
        <v>72</v>
      </c>
      <c r="M34" s="2">
        <v>18</v>
      </c>
      <c r="N34" s="1">
        <f t="shared" si="2"/>
        <v>54</v>
      </c>
    </row>
    <row r="35" spans="1:14" s="2" customFormat="1" ht="31.5" customHeight="1">
      <c r="A35" s="14" t="s">
        <v>89</v>
      </c>
      <c r="B35" s="13" t="s">
        <v>461</v>
      </c>
      <c r="C35" s="14" t="s">
        <v>27</v>
      </c>
      <c r="D35" s="14">
        <v>81.78</v>
      </c>
      <c r="E35" s="12"/>
      <c r="F35" s="12">
        <f>'7-路面工程'!S25</f>
        <v>1084</v>
      </c>
      <c r="G35" s="14">
        <v>0</v>
      </c>
      <c r="H35" s="14">
        <v>0</v>
      </c>
      <c r="I35" s="15">
        <f t="shared" si="0"/>
        <v>1084</v>
      </c>
      <c r="J35" s="14">
        <v>0</v>
      </c>
      <c r="K35" s="31">
        <f t="shared" si="1"/>
        <v>88650</v>
      </c>
      <c r="L35" s="2">
        <v>1453</v>
      </c>
      <c r="M35" s="2">
        <v>369</v>
      </c>
      <c r="N35" s="1">
        <f t="shared" si="2"/>
        <v>1084</v>
      </c>
    </row>
    <row r="36" spans="1:14" s="2" customFormat="1" ht="31.5" customHeight="1">
      <c r="A36" s="19" t="s">
        <v>91</v>
      </c>
      <c r="B36" s="20" t="s">
        <v>462</v>
      </c>
      <c r="C36" s="21" t="s">
        <v>84</v>
      </c>
      <c r="D36" s="19">
        <v>6.31</v>
      </c>
      <c r="E36" s="22"/>
      <c r="F36" s="12">
        <f>'12-南珠桥'!S17</f>
        <v>3330.2</v>
      </c>
      <c r="G36" s="14">
        <v>0</v>
      </c>
      <c r="H36" s="14">
        <v>0</v>
      </c>
      <c r="I36" s="15">
        <f t="shared" si="0"/>
        <v>3330.2</v>
      </c>
      <c r="J36" s="14">
        <v>0</v>
      </c>
      <c r="K36" s="31">
        <f t="shared" si="1"/>
        <v>21014</v>
      </c>
      <c r="L36" s="2">
        <v>3330.2</v>
      </c>
      <c r="M36" s="2">
        <v>0</v>
      </c>
      <c r="N36" s="1">
        <f t="shared" si="2"/>
        <v>3330.2</v>
      </c>
    </row>
    <row r="37" spans="1:14" s="2" customFormat="1" ht="31.5" customHeight="1">
      <c r="A37" s="19" t="s">
        <v>93</v>
      </c>
      <c r="B37" s="20" t="s">
        <v>463</v>
      </c>
      <c r="C37" s="21" t="s">
        <v>84</v>
      </c>
      <c r="D37" s="19">
        <v>6.1</v>
      </c>
      <c r="E37" s="22"/>
      <c r="F37" s="12">
        <f>'12-南珠桥'!S18+'12-南珠桥'!R18</f>
        <v>31758.199999999997</v>
      </c>
      <c r="G37" s="14">
        <v>0</v>
      </c>
      <c r="H37" s="14">
        <v>0</v>
      </c>
      <c r="I37" s="15">
        <f t="shared" si="0"/>
        <v>31758.199999999997</v>
      </c>
      <c r="J37" s="14">
        <v>0</v>
      </c>
      <c r="K37" s="31">
        <f t="shared" si="1"/>
        <v>193725</v>
      </c>
      <c r="L37" s="2">
        <v>31758.2</v>
      </c>
      <c r="M37" s="2">
        <v>0</v>
      </c>
      <c r="N37" s="1">
        <f t="shared" si="2"/>
        <v>31758.2</v>
      </c>
    </row>
    <row r="38" spans="1:14" s="2" customFormat="1" ht="31.5" customHeight="1">
      <c r="A38" s="19" t="s">
        <v>95</v>
      </c>
      <c r="B38" s="20" t="s">
        <v>464</v>
      </c>
      <c r="C38" s="21" t="s">
        <v>84</v>
      </c>
      <c r="D38" s="19">
        <v>6.48</v>
      </c>
      <c r="E38" s="22"/>
      <c r="F38" s="12">
        <f>'12-南珠桥'!O17+'12-南珠桥'!P17+'12-南珠桥'!Q17</f>
        <v>1099.0000000000002</v>
      </c>
      <c r="G38" s="14">
        <v>0</v>
      </c>
      <c r="H38" s="14">
        <v>0</v>
      </c>
      <c r="I38" s="15">
        <f t="shared" si="0"/>
        <v>1099.0000000000002</v>
      </c>
      <c r="J38" s="14">
        <v>0</v>
      </c>
      <c r="K38" s="31">
        <f t="shared" si="1"/>
        <v>7122</v>
      </c>
      <c r="L38" s="2">
        <v>1099</v>
      </c>
      <c r="M38" s="2">
        <v>0</v>
      </c>
      <c r="N38" s="1">
        <f t="shared" si="2"/>
        <v>1099</v>
      </c>
    </row>
    <row r="39" spans="1:14" s="2" customFormat="1" ht="31.5" customHeight="1">
      <c r="A39" s="19" t="s">
        <v>97</v>
      </c>
      <c r="B39" s="20" t="s">
        <v>465</v>
      </c>
      <c r="C39" s="21" t="s">
        <v>84</v>
      </c>
      <c r="D39" s="19">
        <v>6.27</v>
      </c>
      <c r="E39" s="22"/>
      <c r="F39" s="12">
        <f>'12-南珠桥'!O18+'12-南珠桥'!P18+'12-南珠桥'!Q18</f>
        <v>13800</v>
      </c>
      <c r="G39" s="14">
        <v>0</v>
      </c>
      <c r="H39" s="14">
        <v>0</v>
      </c>
      <c r="I39" s="15">
        <f t="shared" si="0"/>
        <v>13800</v>
      </c>
      <c r="J39" s="14">
        <v>0</v>
      </c>
      <c r="K39" s="31">
        <f t="shared" si="1"/>
        <v>86526</v>
      </c>
      <c r="L39" s="2">
        <v>13800</v>
      </c>
      <c r="M39" s="2">
        <v>0</v>
      </c>
      <c r="N39" s="1">
        <f t="shared" si="2"/>
        <v>13800</v>
      </c>
    </row>
    <row r="40" spans="1:14" s="2" customFormat="1" ht="31.5" customHeight="1">
      <c r="A40" s="19" t="s">
        <v>99</v>
      </c>
      <c r="B40" s="20" t="s">
        <v>466</v>
      </c>
      <c r="C40" s="21" t="s">
        <v>84</v>
      </c>
      <c r="D40" s="19">
        <v>6.41</v>
      </c>
      <c r="E40" s="22"/>
      <c r="F40" s="12">
        <f>'12-南珠桥'!D17</f>
        <v>4324</v>
      </c>
      <c r="G40" s="14">
        <v>0</v>
      </c>
      <c r="H40" s="14">
        <v>0</v>
      </c>
      <c r="I40" s="15">
        <f t="shared" si="0"/>
        <v>4324</v>
      </c>
      <c r="J40" s="14">
        <v>0</v>
      </c>
      <c r="K40" s="31">
        <f t="shared" si="1"/>
        <v>27717</v>
      </c>
      <c r="L40" s="2">
        <v>4324</v>
      </c>
      <c r="M40" s="2">
        <v>0</v>
      </c>
      <c r="N40" s="1">
        <f t="shared" si="2"/>
        <v>4324</v>
      </c>
    </row>
    <row r="41" spans="1:14" s="2" customFormat="1" ht="31.5" customHeight="1">
      <c r="A41" s="19" t="s">
        <v>101</v>
      </c>
      <c r="B41" s="20" t="s">
        <v>467</v>
      </c>
      <c r="C41" s="21" t="s">
        <v>84</v>
      </c>
      <c r="D41" s="19">
        <v>6.25</v>
      </c>
      <c r="E41" s="22"/>
      <c r="F41" s="12">
        <f>'12-南珠桥'!D18+'12-南珠桥'!F18</f>
        <v>20776</v>
      </c>
      <c r="G41" s="14">
        <v>0</v>
      </c>
      <c r="H41" s="14">
        <v>0</v>
      </c>
      <c r="I41" s="15">
        <f t="shared" si="0"/>
        <v>20776</v>
      </c>
      <c r="J41" s="14">
        <v>0</v>
      </c>
      <c r="K41" s="31">
        <f t="shared" si="1"/>
        <v>129850</v>
      </c>
      <c r="L41" s="2">
        <v>20776</v>
      </c>
      <c r="M41" s="2">
        <v>0</v>
      </c>
      <c r="N41" s="1">
        <f t="shared" si="2"/>
        <v>20776</v>
      </c>
    </row>
    <row r="42" spans="1:14" s="2" customFormat="1" ht="31.5" customHeight="1">
      <c r="A42" s="19" t="s">
        <v>103</v>
      </c>
      <c r="B42" s="20" t="s">
        <v>468</v>
      </c>
      <c r="C42" s="21" t="s">
        <v>84</v>
      </c>
      <c r="D42" s="19">
        <v>6.45</v>
      </c>
      <c r="E42" s="22"/>
      <c r="F42" s="23">
        <f>'12-南珠桥'!I17</f>
        <v>2694.7812000000004</v>
      </c>
      <c r="G42" s="14">
        <v>0</v>
      </c>
      <c r="H42" s="14">
        <v>0</v>
      </c>
      <c r="I42" s="15">
        <f t="shared" si="0"/>
        <v>2694.7812000000004</v>
      </c>
      <c r="J42" s="14">
        <v>0</v>
      </c>
      <c r="K42" s="31">
        <f t="shared" si="1"/>
        <v>17381</v>
      </c>
      <c r="L42" s="2">
        <v>2694.78</v>
      </c>
      <c r="M42" s="2">
        <v>0</v>
      </c>
      <c r="N42" s="1">
        <f t="shared" si="2"/>
        <v>2694.78</v>
      </c>
    </row>
    <row r="43" spans="1:14" s="2" customFormat="1" ht="31.5" customHeight="1">
      <c r="A43" s="19" t="s">
        <v>105</v>
      </c>
      <c r="B43" s="20" t="s">
        <v>469</v>
      </c>
      <c r="C43" s="21" t="s">
        <v>84</v>
      </c>
      <c r="D43" s="19">
        <v>6.26</v>
      </c>
      <c r="E43" s="22"/>
      <c r="F43" s="23">
        <f>'12-南珠桥'!I18+'12-南珠桥'!V18</f>
        <v>14217.0896</v>
      </c>
      <c r="G43" s="14">
        <v>0</v>
      </c>
      <c r="H43" s="14">
        <v>0</v>
      </c>
      <c r="I43" s="15">
        <f t="shared" si="0"/>
        <v>14217.0896</v>
      </c>
      <c r="J43" s="14">
        <v>0</v>
      </c>
      <c r="K43" s="31">
        <f t="shared" si="1"/>
        <v>88999</v>
      </c>
      <c r="L43" s="2">
        <v>14217.09</v>
      </c>
      <c r="M43" s="2">
        <v>0</v>
      </c>
      <c r="N43" s="1">
        <f t="shared" si="2"/>
        <v>14217.09</v>
      </c>
    </row>
    <row r="44" spans="1:14" s="2" customFormat="1" ht="31.5" customHeight="1">
      <c r="A44" s="19" t="s">
        <v>107</v>
      </c>
      <c r="B44" s="20" t="s">
        <v>108</v>
      </c>
      <c r="C44" s="12" t="s">
        <v>30</v>
      </c>
      <c r="D44" s="19">
        <v>24.08</v>
      </c>
      <c r="E44" s="22"/>
      <c r="F44" s="12">
        <f>'12-南珠桥'!R42+'12-南珠桥'!T42</f>
        <v>1765</v>
      </c>
      <c r="G44" s="14">
        <v>0</v>
      </c>
      <c r="H44" s="14">
        <v>0</v>
      </c>
      <c r="I44" s="15">
        <f t="shared" si="0"/>
        <v>1765</v>
      </c>
      <c r="J44" s="14">
        <v>0</v>
      </c>
      <c r="K44" s="31">
        <f t="shared" si="1"/>
        <v>42501</v>
      </c>
      <c r="L44" s="2">
        <v>1765</v>
      </c>
      <c r="M44" s="2">
        <v>0</v>
      </c>
      <c r="N44" s="1">
        <f t="shared" si="2"/>
        <v>1765</v>
      </c>
    </row>
    <row r="45" spans="1:14" s="2" customFormat="1" ht="31.5" customHeight="1">
      <c r="A45" s="19" t="s">
        <v>109</v>
      </c>
      <c r="B45" s="20" t="s">
        <v>470</v>
      </c>
      <c r="C45" s="12" t="s">
        <v>111</v>
      </c>
      <c r="D45" s="19">
        <v>1854.48</v>
      </c>
      <c r="E45" s="22"/>
      <c r="F45" s="12">
        <v>160</v>
      </c>
      <c r="G45" s="14">
        <v>0</v>
      </c>
      <c r="H45" s="14">
        <v>0</v>
      </c>
      <c r="I45" s="15">
        <f t="shared" si="0"/>
        <v>160</v>
      </c>
      <c r="J45" s="14">
        <v>0</v>
      </c>
      <c r="K45" s="31">
        <f t="shared" si="1"/>
        <v>296717</v>
      </c>
      <c r="L45" s="2">
        <v>160</v>
      </c>
      <c r="M45" s="2">
        <v>0</v>
      </c>
      <c r="N45" s="1">
        <f t="shared" si="2"/>
        <v>160</v>
      </c>
    </row>
    <row r="46" spans="1:14" s="2" customFormat="1" ht="31.5" customHeight="1">
      <c r="A46" s="19" t="s">
        <v>112</v>
      </c>
      <c r="B46" s="24" t="s">
        <v>471</v>
      </c>
      <c r="C46" s="21" t="s">
        <v>30</v>
      </c>
      <c r="D46" s="19">
        <v>529.1</v>
      </c>
      <c r="E46" s="22"/>
      <c r="F46" s="12">
        <f>'12-南珠桥'!R8</f>
        <v>270.4</v>
      </c>
      <c r="G46" s="14">
        <v>0</v>
      </c>
      <c r="H46" s="14">
        <v>0</v>
      </c>
      <c r="I46" s="15">
        <f t="shared" si="0"/>
        <v>270.4</v>
      </c>
      <c r="J46" s="14">
        <v>0</v>
      </c>
      <c r="K46" s="31">
        <f t="shared" si="1"/>
        <v>143069</v>
      </c>
      <c r="L46" s="2">
        <v>270.4</v>
      </c>
      <c r="M46" s="2">
        <v>0</v>
      </c>
      <c r="N46" s="1">
        <f t="shared" si="2"/>
        <v>270.4</v>
      </c>
    </row>
    <row r="47" spans="1:14" s="2" customFormat="1" ht="31.5" customHeight="1">
      <c r="A47" s="19" t="s">
        <v>114</v>
      </c>
      <c r="B47" s="24" t="s">
        <v>472</v>
      </c>
      <c r="C47" s="21" t="s">
        <v>30</v>
      </c>
      <c r="D47" s="19">
        <v>779.85</v>
      </c>
      <c r="E47" s="22"/>
      <c r="F47" s="12">
        <f>'12-南珠桥'!P8</f>
        <v>88.88</v>
      </c>
      <c r="G47" s="14">
        <v>0</v>
      </c>
      <c r="H47" s="14">
        <v>0</v>
      </c>
      <c r="I47" s="15">
        <f t="shared" si="0"/>
        <v>88.88</v>
      </c>
      <c r="J47" s="14">
        <v>0</v>
      </c>
      <c r="K47" s="31">
        <f t="shared" si="1"/>
        <v>69313</v>
      </c>
      <c r="L47" s="2">
        <v>88.88</v>
      </c>
      <c r="M47" s="2">
        <v>0</v>
      </c>
      <c r="N47" s="1">
        <f t="shared" si="2"/>
        <v>88.88</v>
      </c>
    </row>
    <row r="48" spans="1:14" s="2" customFormat="1" ht="31.5" customHeight="1">
      <c r="A48" s="19" t="s">
        <v>116</v>
      </c>
      <c r="B48" s="24" t="s">
        <v>473</v>
      </c>
      <c r="C48" s="21" t="s">
        <v>30</v>
      </c>
      <c r="D48" s="19">
        <v>848.08</v>
      </c>
      <c r="E48" s="22"/>
      <c r="F48" s="12">
        <f>'12-南珠桥'!O8</f>
        <v>21.98</v>
      </c>
      <c r="G48" s="14">
        <v>0</v>
      </c>
      <c r="H48" s="14">
        <v>0</v>
      </c>
      <c r="I48" s="15">
        <f t="shared" si="0"/>
        <v>21.98</v>
      </c>
      <c r="J48" s="14">
        <v>0</v>
      </c>
      <c r="K48" s="31">
        <f t="shared" si="1"/>
        <v>18641</v>
      </c>
      <c r="L48" s="2">
        <v>21.98</v>
      </c>
      <c r="M48" s="2">
        <v>0</v>
      </c>
      <c r="N48" s="1">
        <f t="shared" si="2"/>
        <v>21.98</v>
      </c>
    </row>
    <row r="49" spans="1:14" s="2" customFormat="1" ht="31.5" customHeight="1">
      <c r="A49" s="19" t="s">
        <v>118</v>
      </c>
      <c r="B49" s="24" t="s">
        <v>474</v>
      </c>
      <c r="C49" s="21" t="s">
        <v>30</v>
      </c>
      <c r="D49" s="19">
        <v>920.57</v>
      </c>
      <c r="E49" s="22"/>
      <c r="F49" s="12">
        <f>'12-南珠桥'!Q8</f>
        <v>18.96</v>
      </c>
      <c r="G49" s="14">
        <v>0</v>
      </c>
      <c r="H49" s="14">
        <v>0</v>
      </c>
      <c r="I49" s="15">
        <f t="shared" si="0"/>
        <v>18.96</v>
      </c>
      <c r="J49" s="14">
        <v>0</v>
      </c>
      <c r="K49" s="31">
        <f t="shared" si="1"/>
        <v>17454</v>
      </c>
      <c r="L49" s="2">
        <v>18.96</v>
      </c>
      <c r="M49" s="2">
        <v>0</v>
      </c>
      <c r="N49" s="1">
        <f t="shared" si="2"/>
        <v>18.96</v>
      </c>
    </row>
    <row r="50" spans="1:14" s="2" customFormat="1" ht="31.5" customHeight="1">
      <c r="A50" s="19" t="s">
        <v>120</v>
      </c>
      <c r="B50" s="24" t="s">
        <v>475</v>
      </c>
      <c r="C50" s="21" t="s">
        <v>30</v>
      </c>
      <c r="D50" s="19">
        <v>622.69</v>
      </c>
      <c r="E50" s="22"/>
      <c r="F50" s="12">
        <f>'12-南珠桥'!V8</f>
        <v>61.6</v>
      </c>
      <c r="G50" s="14">
        <v>0</v>
      </c>
      <c r="H50" s="14">
        <v>0</v>
      </c>
      <c r="I50" s="15">
        <f aca="true" t="shared" si="3" ref="I50:I59">F50</f>
        <v>61.6</v>
      </c>
      <c r="J50" s="14">
        <v>0</v>
      </c>
      <c r="K50" s="31">
        <f t="shared" si="1"/>
        <v>38358</v>
      </c>
      <c r="L50" s="2">
        <v>61.6</v>
      </c>
      <c r="M50" s="2">
        <v>0</v>
      </c>
      <c r="N50" s="1">
        <f t="shared" si="2"/>
        <v>61.6</v>
      </c>
    </row>
    <row r="51" spans="1:14" s="2" customFormat="1" ht="31.5" customHeight="1">
      <c r="A51" s="19" t="s">
        <v>122</v>
      </c>
      <c r="B51" s="24" t="s">
        <v>476</v>
      </c>
      <c r="C51" s="21" t="s">
        <v>30</v>
      </c>
      <c r="D51" s="19">
        <v>888.08</v>
      </c>
      <c r="E51" s="22"/>
      <c r="F51" s="23">
        <f>'12-南珠桥'!I8</f>
        <v>16.67664</v>
      </c>
      <c r="G51" s="14">
        <v>0</v>
      </c>
      <c r="H51" s="14">
        <v>0</v>
      </c>
      <c r="I51" s="15">
        <f t="shared" si="3"/>
        <v>16.67664</v>
      </c>
      <c r="J51" s="14">
        <v>0</v>
      </c>
      <c r="K51" s="31">
        <f t="shared" si="1"/>
        <v>14810</v>
      </c>
      <c r="L51" s="2">
        <v>16.68</v>
      </c>
      <c r="M51" s="2">
        <v>0</v>
      </c>
      <c r="N51" s="1">
        <f t="shared" si="2"/>
        <v>16.68</v>
      </c>
    </row>
    <row r="52" spans="1:14" s="2" customFormat="1" ht="31.5" customHeight="1">
      <c r="A52" s="19" t="s">
        <v>124</v>
      </c>
      <c r="B52" s="24" t="s">
        <v>477</v>
      </c>
      <c r="C52" s="21" t="s">
        <v>30</v>
      </c>
      <c r="D52" s="19">
        <v>786.73</v>
      </c>
      <c r="E52" s="22"/>
      <c r="F52" s="23">
        <f>'12-南珠桥'!I11</f>
        <v>0.836</v>
      </c>
      <c r="G52" s="14">
        <v>0</v>
      </c>
      <c r="H52" s="14">
        <v>0</v>
      </c>
      <c r="I52" s="15">
        <f t="shared" si="3"/>
        <v>0.836</v>
      </c>
      <c r="J52" s="14">
        <v>0</v>
      </c>
      <c r="K52" s="31">
        <f t="shared" si="1"/>
        <v>658</v>
      </c>
      <c r="L52" s="2">
        <v>0.84</v>
      </c>
      <c r="M52" s="2">
        <v>0</v>
      </c>
      <c r="N52" s="1">
        <f t="shared" si="2"/>
        <v>0.84</v>
      </c>
    </row>
    <row r="53" spans="1:14" s="2" customFormat="1" ht="31.5" customHeight="1">
      <c r="A53" s="19" t="s">
        <v>126</v>
      </c>
      <c r="B53" s="20" t="s">
        <v>127</v>
      </c>
      <c r="C53" s="21" t="s">
        <v>84</v>
      </c>
      <c r="D53" s="19">
        <v>13.81</v>
      </c>
      <c r="E53" s="22"/>
      <c r="F53" s="12">
        <f>'12-南珠桥'!D16</f>
        <v>3809</v>
      </c>
      <c r="G53" s="14">
        <v>0</v>
      </c>
      <c r="H53" s="14">
        <v>0</v>
      </c>
      <c r="I53" s="15">
        <f t="shared" si="3"/>
        <v>3809</v>
      </c>
      <c r="J53" s="14">
        <v>0</v>
      </c>
      <c r="K53" s="31">
        <f t="shared" si="1"/>
        <v>52602</v>
      </c>
      <c r="L53" s="2">
        <v>3809</v>
      </c>
      <c r="M53" s="2">
        <v>0</v>
      </c>
      <c r="N53" s="1">
        <f t="shared" si="2"/>
        <v>3809</v>
      </c>
    </row>
    <row r="54" spans="1:14" s="2" customFormat="1" ht="31.5" customHeight="1">
      <c r="A54" s="19" t="s">
        <v>128</v>
      </c>
      <c r="B54" s="24" t="s">
        <v>478</v>
      </c>
      <c r="C54" s="21" t="s">
        <v>30</v>
      </c>
      <c r="D54" s="19">
        <v>850.04</v>
      </c>
      <c r="E54" s="22"/>
      <c r="F54" s="12">
        <f>'12-南珠桥'!E7</f>
        <v>3.8</v>
      </c>
      <c r="G54" s="14">
        <v>0</v>
      </c>
      <c r="H54" s="14">
        <v>0</v>
      </c>
      <c r="I54" s="15">
        <f t="shared" si="3"/>
        <v>3.8</v>
      </c>
      <c r="J54" s="14">
        <v>0</v>
      </c>
      <c r="K54" s="31">
        <f t="shared" si="1"/>
        <v>3230</v>
      </c>
      <c r="L54" s="2">
        <v>3.8</v>
      </c>
      <c r="M54" s="2">
        <v>0</v>
      </c>
      <c r="N54" s="1">
        <f t="shared" si="2"/>
        <v>3.8</v>
      </c>
    </row>
    <row r="55" spans="1:14" s="2" customFormat="1" ht="31.5" customHeight="1">
      <c r="A55" s="19" t="s">
        <v>130</v>
      </c>
      <c r="B55" s="24" t="s">
        <v>479</v>
      </c>
      <c r="C55" s="21" t="s">
        <v>30</v>
      </c>
      <c r="D55" s="19">
        <v>1963.42</v>
      </c>
      <c r="E55" s="22"/>
      <c r="F55" s="12">
        <f>'12-南珠桥'!D6</f>
        <v>108.8</v>
      </c>
      <c r="G55" s="14">
        <v>0</v>
      </c>
      <c r="H55" s="14">
        <v>0</v>
      </c>
      <c r="I55" s="15">
        <f t="shared" si="3"/>
        <v>108.8</v>
      </c>
      <c r="J55" s="14">
        <v>0</v>
      </c>
      <c r="K55" s="31">
        <f t="shared" si="1"/>
        <v>213620</v>
      </c>
      <c r="L55" s="2">
        <v>108.8</v>
      </c>
      <c r="M55" s="2">
        <v>0</v>
      </c>
      <c r="N55" s="1">
        <f t="shared" si="2"/>
        <v>108.8</v>
      </c>
    </row>
    <row r="56" spans="1:14" s="2" customFormat="1" ht="31.5" customHeight="1">
      <c r="A56" s="19" t="s">
        <v>132</v>
      </c>
      <c r="B56" s="24" t="s">
        <v>480</v>
      </c>
      <c r="C56" s="21" t="s">
        <v>30</v>
      </c>
      <c r="D56" s="19">
        <v>348.98</v>
      </c>
      <c r="E56" s="22"/>
      <c r="F56" s="12">
        <f>'12-南珠桥'!Y37</f>
        <v>193.82999999999998</v>
      </c>
      <c r="G56" s="14">
        <v>0</v>
      </c>
      <c r="H56" s="14">
        <v>0</v>
      </c>
      <c r="I56" s="15">
        <f t="shared" si="3"/>
        <v>193.82999999999998</v>
      </c>
      <c r="J56" s="14">
        <v>0</v>
      </c>
      <c r="K56" s="31">
        <f t="shared" si="1"/>
        <v>67643</v>
      </c>
      <c r="L56" s="2">
        <v>193.83</v>
      </c>
      <c r="M56" s="2">
        <v>0</v>
      </c>
      <c r="N56" s="1">
        <f t="shared" si="2"/>
        <v>193.83</v>
      </c>
    </row>
    <row r="57" spans="1:14" s="2" customFormat="1" ht="31.5" customHeight="1">
      <c r="A57" s="19" t="s">
        <v>134</v>
      </c>
      <c r="B57" s="24" t="s">
        <v>481</v>
      </c>
      <c r="C57" s="21" t="s">
        <v>27</v>
      </c>
      <c r="D57" s="19">
        <v>135.35</v>
      </c>
      <c r="E57" s="22"/>
      <c r="F57" s="12">
        <f>'12-南珠桥'!F13*10</f>
        <v>176</v>
      </c>
      <c r="G57" s="14">
        <v>0</v>
      </c>
      <c r="H57" s="14">
        <v>0</v>
      </c>
      <c r="I57" s="15">
        <f t="shared" si="3"/>
        <v>176</v>
      </c>
      <c r="J57" s="14">
        <v>0</v>
      </c>
      <c r="K57" s="31">
        <f t="shared" si="1"/>
        <v>23822</v>
      </c>
      <c r="L57" s="2">
        <v>176</v>
      </c>
      <c r="M57" s="2">
        <v>0</v>
      </c>
      <c r="N57" s="1">
        <f t="shared" si="2"/>
        <v>176</v>
      </c>
    </row>
    <row r="58" spans="1:14" s="2" customFormat="1" ht="31.5" customHeight="1">
      <c r="A58" s="19" t="s">
        <v>136</v>
      </c>
      <c r="B58" s="24" t="s">
        <v>482</v>
      </c>
      <c r="C58" s="21" t="s">
        <v>30</v>
      </c>
      <c r="D58" s="19">
        <v>676.72</v>
      </c>
      <c r="E58" s="22"/>
      <c r="F58" s="12">
        <f>'12-南珠桥'!F6</f>
        <v>62</v>
      </c>
      <c r="G58" s="14">
        <v>0</v>
      </c>
      <c r="H58" s="14">
        <v>0</v>
      </c>
      <c r="I58" s="15">
        <f t="shared" si="3"/>
        <v>62</v>
      </c>
      <c r="J58" s="14">
        <v>0</v>
      </c>
      <c r="K58" s="31">
        <f t="shared" si="1"/>
        <v>41957</v>
      </c>
      <c r="L58" s="2">
        <v>62</v>
      </c>
      <c r="M58" s="2">
        <v>0</v>
      </c>
      <c r="N58" s="1">
        <f t="shared" si="2"/>
        <v>62</v>
      </c>
    </row>
    <row r="59" spans="1:14" s="2" customFormat="1" ht="31.5" customHeight="1">
      <c r="A59" s="19" t="s">
        <v>138</v>
      </c>
      <c r="B59" s="20" t="s">
        <v>483</v>
      </c>
      <c r="C59" s="21" t="s">
        <v>27</v>
      </c>
      <c r="D59" s="19">
        <v>98.65</v>
      </c>
      <c r="E59" s="22"/>
      <c r="F59" s="12">
        <f>'12-南珠桥'!F14</f>
        <v>219.6</v>
      </c>
      <c r="G59" s="14">
        <v>0</v>
      </c>
      <c r="H59" s="14">
        <v>0</v>
      </c>
      <c r="I59" s="15">
        <f t="shared" si="3"/>
        <v>219.6</v>
      </c>
      <c r="J59" s="14">
        <v>0</v>
      </c>
      <c r="K59" s="31">
        <f t="shared" si="1"/>
        <v>21664</v>
      </c>
      <c r="L59" s="2">
        <v>219.6</v>
      </c>
      <c r="M59" s="2">
        <v>0</v>
      </c>
      <c r="N59" s="1">
        <f t="shared" si="2"/>
        <v>219.6</v>
      </c>
    </row>
    <row r="60" spans="1:14" s="2" customFormat="1" ht="31.5" customHeight="1">
      <c r="A60" s="19" t="s">
        <v>140</v>
      </c>
      <c r="B60" s="24" t="s">
        <v>484</v>
      </c>
      <c r="C60" s="25" t="s">
        <v>142</v>
      </c>
      <c r="D60" s="19">
        <v>229.27</v>
      </c>
      <c r="E60" s="22"/>
      <c r="F60" s="12">
        <f>'12-南珠桥'!I21</f>
        <v>36</v>
      </c>
      <c r="G60" s="14">
        <v>0</v>
      </c>
      <c r="H60" s="14">
        <v>0</v>
      </c>
      <c r="I60" s="15">
        <f t="shared" si="0"/>
        <v>36</v>
      </c>
      <c r="J60" s="14">
        <v>0</v>
      </c>
      <c r="K60" s="31">
        <f t="shared" si="1"/>
        <v>8254</v>
      </c>
      <c r="L60" s="2">
        <v>36</v>
      </c>
      <c r="M60" s="2">
        <v>0</v>
      </c>
      <c r="N60" s="1">
        <f t="shared" si="2"/>
        <v>36</v>
      </c>
    </row>
    <row r="61" spans="1:14" s="2" customFormat="1" ht="31.5" customHeight="1">
      <c r="A61" s="19" t="s">
        <v>143</v>
      </c>
      <c r="B61" s="24" t="s">
        <v>485</v>
      </c>
      <c r="C61" s="12" t="s">
        <v>51</v>
      </c>
      <c r="D61" s="19">
        <v>2262.27</v>
      </c>
      <c r="E61" s="22"/>
      <c r="F61" s="12">
        <f>'12-南珠桥'!H28</f>
        <v>24</v>
      </c>
      <c r="G61" s="14">
        <v>0</v>
      </c>
      <c r="H61" s="14">
        <v>0</v>
      </c>
      <c r="I61" s="15">
        <f t="shared" si="0"/>
        <v>24</v>
      </c>
      <c r="J61" s="14">
        <v>0</v>
      </c>
      <c r="K61" s="31">
        <f t="shared" si="1"/>
        <v>54294</v>
      </c>
      <c r="L61" s="2">
        <v>24</v>
      </c>
      <c r="M61" s="2">
        <v>0</v>
      </c>
      <c r="N61" s="1">
        <f t="shared" si="2"/>
        <v>24</v>
      </c>
    </row>
    <row r="62" spans="1:14" s="2" customFormat="1" ht="31.5" customHeight="1">
      <c r="A62" s="19" t="s">
        <v>145</v>
      </c>
      <c r="B62" s="24" t="s">
        <v>486</v>
      </c>
      <c r="C62" s="19" t="s">
        <v>51</v>
      </c>
      <c r="D62" s="19">
        <v>253.48</v>
      </c>
      <c r="E62" s="22"/>
      <c r="F62" s="12">
        <f>'10-安全设施'!F22</f>
        <v>224</v>
      </c>
      <c r="G62" s="14">
        <v>0</v>
      </c>
      <c r="H62" s="14">
        <v>0</v>
      </c>
      <c r="I62" s="15">
        <f t="shared" si="0"/>
        <v>224</v>
      </c>
      <c r="J62" s="14">
        <v>0</v>
      </c>
      <c r="K62" s="31">
        <f t="shared" si="1"/>
        <v>56780</v>
      </c>
      <c r="L62" s="2">
        <v>224</v>
      </c>
      <c r="M62" s="2">
        <v>0</v>
      </c>
      <c r="N62" s="1">
        <f t="shared" si="2"/>
        <v>224</v>
      </c>
    </row>
    <row r="63" spans="1:14" s="2" customFormat="1" ht="31.5" customHeight="1">
      <c r="A63" s="19" t="s">
        <v>147</v>
      </c>
      <c r="B63" s="20" t="s">
        <v>148</v>
      </c>
      <c r="C63" s="26" t="s">
        <v>149</v>
      </c>
      <c r="D63" s="27">
        <v>4482.44</v>
      </c>
      <c r="E63" s="22"/>
      <c r="F63" s="12">
        <f>'10-安全设施'!H22</f>
        <v>2</v>
      </c>
      <c r="G63" s="14">
        <v>0</v>
      </c>
      <c r="H63" s="14">
        <v>0</v>
      </c>
      <c r="I63" s="15">
        <f t="shared" si="0"/>
        <v>2</v>
      </c>
      <c r="J63" s="14">
        <v>0</v>
      </c>
      <c r="K63" s="31">
        <f t="shared" si="1"/>
        <v>8965</v>
      </c>
      <c r="L63" s="2">
        <v>2</v>
      </c>
      <c r="M63" s="2">
        <v>0</v>
      </c>
      <c r="N63" s="1">
        <f t="shared" si="2"/>
        <v>2</v>
      </c>
    </row>
    <row r="64" spans="1:14" s="2" customFormat="1" ht="31.5" customHeight="1">
      <c r="A64" s="19" t="s">
        <v>150</v>
      </c>
      <c r="B64" s="20" t="s">
        <v>151</v>
      </c>
      <c r="C64" s="26" t="s">
        <v>149</v>
      </c>
      <c r="D64" s="27">
        <v>4912.93</v>
      </c>
      <c r="E64" s="22"/>
      <c r="F64" s="12">
        <f>'10-安全设施'!G22</f>
        <v>2</v>
      </c>
      <c r="G64" s="14">
        <v>0</v>
      </c>
      <c r="H64" s="14">
        <v>0</v>
      </c>
      <c r="I64" s="15">
        <f t="shared" si="0"/>
        <v>2</v>
      </c>
      <c r="J64" s="14">
        <v>0</v>
      </c>
      <c r="K64" s="31">
        <f t="shared" si="1"/>
        <v>9826</v>
      </c>
      <c r="L64" s="2">
        <v>2</v>
      </c>
      <c r="M64" s="2">
        <v>0</v>
      </c>
      <c r="N64" s="1">
        <f t="shared" si="2"/>
        <v>2</v>
      </c>
    </row>
    <row r="65" spans="1:14" s="2" customFormat="1" ht="31.5" customHeight="1">
      <c r="A65" s="19" t="s">
        <v>152</v>
      </c>
      <c r="B65" s="20" t="s">
        <v>153</v>
      </c>
      <c r="C65" s="26" t="s">
        <v>154</v>
      </c>
      <c r="D65" s="19">
        <v>115.89</v>
      </c>
      <c r="E65" s="22"/>
      <c r="F65" s="12">
        <f>'10-安全设施'!J22</f>
        <v>192</v>
      </c>
      <c r="G65" s="14">
        <v>0</v>
      </c>
      <c r="H65" s="14">
        <v>0</v>
      </c>
      <c r="I65" s="15">
        <f t="shared" si="0"/>
        <v>192</v>
      </c>
      <c r="J65" s="14">
        <v>0</v>
      </c>
      <c r="K65" s="31">
        <f t="shared" si="1"/>
        <v>22251</v>
      </c>
      <c r="L65" s="2">
        <v>192</v>
      </c>
      <c r="M65" s="2">
        <v>0</v>
      </c>
      <c r="N65" s="1">
        <f t="shared" si="2"/>
        <v>192</v>
      </c>
    </row>
    <row r="66" spans="1:14" s="2" customFormat="1" ht="31.5" customHeight="1">
      <c r="A66" s="19" t="s">
        <v>155</v>
      </c>
      <c r="B66" s="20" t="s">
        <v>156</v>
      </c>
      <c r="C66" s="26" t="s">
        <v>154</v>
      </c>
      <c r="D66" s="19">
        <v>197.05</v>
      </c>
      <c r="E66" s="22"/>
      <c r="F66" s="12">
        <f>'10-安全设施'!K22</f>
        <v>12</v>
      </c>
      <c r="G66" s="14">
        <v>0</v>
      </c>
      <c r="H66" s="14">
        <v>0</v>
      </c>
      <c r="I66" s="15">
        <f t="shared" si="0"/>
        <v>12</v>
      </c>
      <c r="J66" s="14">
        <v>0</v>
      </c>
      <c r="K66" s="31">
        <f t="shared" si="1"/>
        <v>2365</v>
      </c>
      <c r="L66" s="2">
        <v>16</v>
      </c>
      <c r="M66" s="2">
        <v>4</v>
      </c>
      <c r="N66" s="1">
        <f t="shared" si="2"/>
        <v>12</v>
      </c>
    </row>
    <row r="67" spans="1:14" s="2" customFormat="1" ht="31.5" customHeight="1">
      <c r="A67" s="19" t="s">
        <v>157</v>
      </c>
      <c r="B67" s="20" t="s">
        <v>487</v>
      </c>
      <c r="C67" s="26" t="s">
        <v>142</v>
      </c>
      <c r="D67" s="19">
        <v>1098.88</v>
      </c>
      <c r="E67" s="22"/>
      <c r="F67" s="12">
        <f>'10-安全设施'!O22</f>
        <v>3</v>
      </c>
      <c r="G67" s="14">
        <v>0</v>
      </c>
      <c r="H67" s="14">
        <v>0</v>
      </c>
      <c r="I67" s="15">
        <f t="shared" si="0"/>
        <v>3</v>
      </c>
      <c r="J67" s="14">
        <v>0</v>
      </c>
      <c r="K67" s="31">
        <f t="shared" si="1"/>
        <v>3297</v>
      </c>
      <c r="L67" s="2">
        <v>6</v>
      </c>
      <c r="M67" s="2">
        <v>3</v>
      </c>
      <c r="N67" s="1">
        <f t="shared" si="2"/>
        <v>3</v>
      </c>
    </row>
    <row r="68" spans="1:14" s="2" customFormat="1" ht="31.5" customHeight="1">
      <c r="A68" s="19" t="s">
        <v>159</v>
      </c>
      <c r="B68" s="20" t="s">
        <v>488</v>
      </c>
      <c r="C68" s="26" t="s">
        <v>142</v>
      </c>
      <c r="D68" s="19">
        <v>3986.03</v>
      </c>
      <c r="E68" s="22"/>
      <c r="F68" s="12">
        <v>1</v>
      </c>
      <c r="G68" s="14">
        <v>0</v>
      </c>
      <c r="H68" s="14">
        <v>0</v>
      </c>
      <c r="I68" s="15">
        <f t="shared" si="0"/>
        <v>1</v>
      </c>
      <c r="J68" s="14">
        <v>0</v>
      </c>
      <c r="K68" s="31">
        <f t="shared" si="1"/>
        <v>3986</v>
      </c>
      <c r="L68" s="2">
        <v>1</v>
      </c>
      <c r="M68" s="2">
        <v>0</v>
      </c>
      <c r="N68" s="1">
        <f t="shared" si="2"/>
        <v>1</v>
      </c>
    </row>
    <row r="69" spans="1:14" s="2" customFormat="1" ht="31.5" customHeight="1">
      <c r="A69" s="19" t="s">
        <v>161</v>
      </c>
      <c r="B69" s="20" t="s">
        <v>162</v>
      </c>
      <c r="C69" s="12" t="s">
        <v>27</v>
      </c>
      <c r="D69" s="19">
        <v>49.35</v>
      </c>
      <c r="E69" s="22"/>
      <c r="F69" s="23">
        <f>'7-路面工程'!W25+'7-路面工程'!X25+'7-路面工程'!Y25</f>
        <v>406.56</v>
      </c>
      <c r="G69" s="14">
        <v>0</v>
      </c>
      <c r="H69" s="14">
        <v>0</v>
      </c>
      <c r="I69" s="15">
        <f t="shared" si="0"/>
        <v>406.56</v>
      </c>
      <c r="J69" s="14">
        <v>0</v>
      </c>
      <c r="K69" s="31">
        <f t="shared" si="1"/>
        <v>20064</v>
      </c>
      <c r="L69" s="2">
        <v>721.18</v>
      </c>
      <c r="M69" s="2">
        <v>314.62</v>
      </c>
      <c r="N69" s="1">
        <f t="shared" si="2"/>
        <v>406.55999999999995</v>
      </c>
    </row>
    <row r="70" spans="1:14" s="2" customFormat="1" ht="31.5" customHeight="1">
      <c r="A70" s="19" t="s">
        <v>163</v>
      </c>
      <c r="B70" s="20" t="s">
        <v>489</v>
      </c>
      <c r="C70" s="26" t="s">
        <v>142</v>
      </c>
      <c r="D70" s="19">
        <v>6.8</v>
      </c>
      <c r="E70" s="22"/>
      <c r="F70" s="12">
        <v>20</v>
      </c>
      <c r="G70" s="14">
        <v>0</v>
      </c>
      <c r="H70" s="14">
        <v>0</v>
      </c>
      <c r="I70" s="15">
        <f t="shared" si="0"/>
        <v>20</v>
      </c>
      <c r="J70" s="14">
        <v>0</v>
      </c>
      <c r="K70" s="31">
        <f>ROUND(I70*D70,0)</f>
        <v>136</v>
      </c>
      <c r="L70" s="2">
        <v>20</v>
      </c>
      <c r="M70" s="2">
        <v>20</v>
      </c>
      <c r="N70" s="1">
        <f>L70-M70</f>
        <v>0</v>
      </c>
    </row>
    <row r="71" spans="1:11" s="2" customFormat="1" ht="31.5" customHeight="1">
      <c r="A71" s="19"/>
      <c r="B71" s="24"/>
      <c r="C71" s="19"/>
      <c r="D71" s="19"/>
      <c r="E71" s="22"/>
      <c r="F71" s="12"/>
      <c r="G71" s="14"/>
      <c r="H71" s="12"/>
      <c r="I71" s="23"/>
      <c r="J71" s="12"/>
      <c r="K71" s="35"/>
    </row>
    <row r="72" spans="1:11" s="2" customFormat="1" ht="31.5" customHeight="1">
      <c r="A72" s="472" t="s">
        <v>166</v>
      </c>
      <c r="B72" s="473"/>
      <c r="C72" s="473"/>
      <c r="D72" s="473"/>
      <c r="E72" s="473"/>
      <c r="F72" s="473"/>
      <c r="G72" s="473"/>
      <c r="H72" s="473"/>
      <c r="I72" s="473"/>
      <c r="J72" s="12"/>
      <c r="K72" s="35">
        <f>SUM(K5:K71)</f>
        <v>6373261</v>
      </c>
    </row>
    <row r="73" spans="1:11" s="2" customFormat="1" ht="31.5" customHeight="1">
      <c r="A73" s="472"/>
      <c r="B73" s="473"/>
      <c r="C73" s="473"/>
      <c r="D73" s="473"/>
      <c r="E73" s="473"/>
      <c r="F73" s="473"/>
      <c r="G73" s="473"/>
      <c r="H73" s="473"/>
      <c r="I73" s="473"/>
      <c r="J73" s="473"/>
      <c r="K73" s="473"/>
    </row>
    <row r="74" spans="1:11" s="3" customFormat="1" ht="18.75" customHeight="1">
      <c r="A74" s="32"/>
      <c r="B74" s="33"/>
      <c r="C74" s="32"/>
      <c r="D74" s="32"/>
      <c r="E74" s="32"/>
      <c r="F74" s="32"/>
      <c r="G74" s="32"/>
      <c r="H74" s="32"/>
      <c r="I74" s="36"/>
      <c r="J74" s="32"/>
      <c r="K74" s="37"/>
    </row>
    <row r="75" spans="1:11" s="3" customFormat="1" ht="18.75" customHeight="1">
      <c r="A75" s="32"/>
      <c r="B75" s="33"/>
      <c r="C75" s="32"/>
      <c r="D75" s="32"/>
      <c r="E75" s="32"/>
      <c r="F75" s="32"/>
      <c r="G75" s="32"/>
      <c r="H75" s="32"/>
      <c r="I75" s="36"/>
      <c r="J75" s="32"/>
      <c r="K75" s="37"/>
    </row>
    <row r="76" spans="1:11" s="3" customFormat="1" ht="18.75" customHeight="1">
      <c r="A76" s="32"/>
      <c r="B76" s="33"/>
      <c r="C76" s="32"/>
      <c r="D76" s="32"/>
      <c r="E76" s="32"/>
      <c r="F76" s="32"/>
      <c r="G76" s="32"/>
      <c r="H76" s="32"/>
      <c r="I76" s="36"/>
      <c r="J76" s="32"/>
      <c r="K76" s="37"/>
    </row>
    <row r="77" spans="1:11" s="3" customFormat="1" ht="18.75" customHeight="1">
      <c r="A77" s="32"/>
      <c r="B77" s="33"/>
      <c r="C77" s="32"/>
      <c r="D77" s="32"/>
      <c r="E77" s="32"/>
      <c r="F77" s="32"/>
      <c r="G77" s="32"/>
      <c r="H77" s="32"/>
      <c r="I77" s="36"/>
      <c r="J77" s="32"/>
      <c r="K77" s="37"/>
    </row>
    <row r="78" spans="1:11" s="3" customFormat="1" ht="18.75" customHeight="1">
      <c r="A78" s="32"/>
      <c r="B78" s="33"/>
      <c r="C78" s="32"/>
      <c r="D78" s="32"/>
      <c r="E78" s="32"/>
      <c r="F78" s="32"/>
      <c r="G78" s="32"/>
      <c r="H78" s="32"/>
      <c r="I78" s="36"/>
      <c r="J78" s="32"/>
      <c r="K78" s="37"/>
    </row>
    <row r="79" spans="1:11" s="3" customFormat="1" ht="18.75" customHeight="1">
      <c r="A79" s="32"/>
      <c r="B79" s="34"/>
      <c r="C79" s="32"/>
      <c r="D79" s="32"/>
      <c r="E79" s="32"/>
      <c r="F79" s="32"/>
      <c r="G79" s="32"/>
      <c r="H79" s="32"/>
      <c r="I79" s="36"/>
      <c r="J79" s="32"/>
      <c r="K79" s="37"/>
    </row>
    <row r="80" spans="1:11" s="3" customFormat="1" ht="18.75" customHeight="1">
      <c r="A80" s="32"/>
      <c r="B80" s="33"/>
      <c r="C80" s="32"/>
      <c r="D80" s="32"/>
      <c r="E80" s="32"/>
      <c r="F80" s="32"/>
      <c r="G80" s="32"/>
      <c r="H80" s="32"/>
      <c r="I80" s="36"/>
      <c r="J80" s="32"/>
      <c r="K80" s="37"/>
    </row>
    <row r="81" spans="1:11" s="3" customFormat="1" ht="18.75" customHeight="1">
      <c r="A81" s="32"/>
      <c r="B81" s="33"/>
      <c r="C81" s="32"/>
      <c r="D81" s="32"/>
      <c r="E81" s="32"/>
      <c r="F81" s="32"/>
      <c r="G81" s="32"/>
      <c r="H81" s="32"/>
      <c r="I81" s="36"/>
      <c r="J81" s="32"/>
      <c r="K81" s="37"/>
    </row>
    <row r="82" spans="1:11" s="3" customFormat="1" ht="18.75" customHeight="1">
      <c r="A82" s="32"/>
      <c r="B82" s="33"/>
      <c r="C82" s="32"/>
      <c r="D82" s="32"/>
      <c r="E82" s="32"/>
      <c r="F82" s="32"/>
      <c r="G82" s="32"/>
      <c r="H82" s="32"/>
      <c r="I82" s="36"/>
      <c r="J82" s="32"/>
      <c r="K82" s="37"/>
    </row>
    <row r="83" spans="1:11" s="3" customFormat="1" ht="18.75" customHeight="1">
      <c r="A83" s="32"/>
      <c r="B83" s="33"/>
      <c r="C83" s="32"/>
      <c r="D83" s="32"/>
      <c r="E83" s="32"/>
      <c r="F83" s="32"/>
      <c r="G83" s="32"/>
      <c r="H83" s="32"/>
      <c r="I83" s="36"/>
      <c r="J83" s="32"/>
      <c r="K83" s="37"/>
    </row>
    <row r="84" spans="1:11" s="3" customFormat="1" ht="18.75" customHeight="1">
      <c r="A84" s="32"/>
      <c r="B84" s="33"/>
      <c r="C84" s="32"/>
      <c r="D84" s="32"/>
      <c r="E84" s="32"/>
      <c r="F84" s="32"/>
      <c r="G84" s="32"/>
      <c r="H84" s="32"/>
      <c r="I84" s="36"/>
      <c r="J84" s="32"/>
      <c r="K84" s="37"/>
    </row>
    <row r="85" spans="1:11" s="3" customFormat="1" ht="18.75" customHeight="1">
      <c r="A85" s="32"/>
      <c r="B85" s="33"/>
      <c r="C85" s="32"/>
      <c r="D85" s="32"/>
      <c r="E85" s="32"/>
      <c r="F85" s="32"/>
      <c r="G85" s="32"/>
      <c r="H85" s="32"/>
      <c r="I85" s="36"/>
      <c r="J85" s="32"/>
      <c r="K85" s="37"/>
    </row>
    <row r="86" spans="1:11" s="3" customFormat="1" ht="18.75" customHeight="1">
      <c r="A86" s="32"/>
      <c r="B86" s="33"/>
      <c r="C86" s="32"/>
      <c r="D86" s="32"/>
      <c r="E86" s="32"/>
      <c r="F86" s="32"/>
      <c r="G86" s="32"/>
      <c r="H86" s="32"/>
      <c r="I86" s="36"/>
      <c r="J86" s="32"/>
      <c r="K86" s="37"/>
    </row>
    <row r="87" spans="1:11" s="3" customFormat="1" ht="18.75" customHeight="1">
      <c r="A87" s="32"/>
      <c r="B87" s="33"/>
      <c r="C87" s="32"/>
      <c r="D87" s="32"/>
      <c r="E87" s="32"/>
      <c r="F87" s="32"/>
      <c r="G87" s="32"/>
      <c r="H87" s="32"/>
      <c r="I87" s="36"/>
      <c r="J87" s="32"/>
      <c r="K87" s="37"/>
    </row>
    <row r="88" spans="1:11" s="3" customFormat="1" ht="18.75" customHeight="1">
      <c r="A88" s="32"/>
      <c r="B88" s="33"/>
      <c r="C88" s="32"/>
      <c r="D88" s="32"/>
      <c r="E88" s="32"/>
      <c r="F88" s="32"/>
      <c r="G88" s="32"/>
      <c r="H88" s="32"/>
      <c r="I88" s="36"/>
      <c r="J88" s="32"/>
      <c r="K88" s="37"/>
    </row>
    <row r="89" spans="1:11" s="3" customFormat="1" ht="18.75" customHeight="1">
      <c r="A89" s="32"/>
      <c r="B89" s="33"/>
      <c r="C89" s="32"/>
      <c r="D89" s="32"/>
      <c r="E89" s="32"/>
      <c r="F89" s="32"/>
      <c r="G89" s="32"/>
      <c r="H89" s="32"/>
      <c r="I89" s="36"/>
      <c r="J89" s="32"/>
      <c r="K89" s="37"/>
    </row>
    <row r="90" spans="1:11" s="3" customFormat="1" ht="18.75" customHeight="1">
      <c r="A90" s="32"/>
      <c r="B90" s="33"/>
      <c r="C90" s="32"/>
      <c r="D90" s="32"/>
      <c r="E90" s="32"/>
      <c r="F90" s="32"/>
      <c r="G90" s="32"/>
      <c r="H90" s="32"/>
      <c r="I90" s="36"/>
      <c r="J90" s="32"/>
      <c r="K90" s="37"/>
    </row>
    <row r="91" spans="1:11" s="3" customFormat="1" ht="18.75" customHeight="1">
      <c r="A91" s="32"/>
      <c r="B91" s="33"/>
      <c r="C91" s="32"/>
      <c r="D91" s="32"/>
      <c r="E91" s="32"/>
      <c r="F91" s="32"/>
      <c r="G91" s="32"/>
      <c r="H91" s="32"/>
      <c r="I91" s="36"/>
      <c r="J91" s="32"/>
      <c r="K91" s="37"/>
    </row>
    <row r="92" spans="1:11" s="3" customFormat="1" ht="15">
      <c r="A92" s="32"/>
      <c r="B92" s="33"/>
      <c r="C92" s="32"/>
      <c r="D92" s="32"/>
      <c r="E92" s="32"/>
      <c r="F92" s="32"/>
      <c r="G92" s="32"/>
      <c r="H92" s="32"/>
      <c r="I92" s="36"/>
      <c r="J92" s="32"/>
      <c r="K92" s="37"/>
    </row>
    <row r="93" spans="1:11" s="3" customFormat="1" ht="15">
      <c r="A93" s="32"/>
      <c r="B93" s="33"/>
      <c r="C93" s="32"/>
      <c r="D93" s="32"/>
      <c r="E93" s="32"/>
      <c r="F93" s="32"/>
      <c r="G93" s="32"/>
      <c r="H93" s="32"/>
      <c r="I93" s="36"/>
      <c r="J93" s="32"/>
      <c r="K93" s="37"/>
    </row>
    <row r="94" spans="1:11" s="3" customFormat="1" ht="15">
      <c r="A94" s="32"/>
      <c r="B94" s="33"/>
      <c r="C94" s="32"/>
      <c r="D94" s="32"/>
      <c r="E94" s="32"/>
      <c r="F94" s="32"/>
      <c r="G94" s="32"/>
      <c r="H94" s="32"/>
      <c r="I94" s="36"/>
      <c r="J94" s="32"/>
      <c r="K94" s="37"/>
    </row>
    <row r="95" spans="1:11" s="3" customFormat="1" ht="15">
      <c r="A95" s="32"/>
      <c r="B95" s="33"/>
      <c r="C95" s="32"/>
      <c r="D95" s="32"/>
      <c r="E95" s="32"/>
      <c r="F95" s="32"/>
      <c r="G95" s="32"/>
      <c r="H95" s="32"/>
      <c r="I95" s="36"/>
      <c r="J95" s="32"/>
      <c r="K95" s="37"/>
    </row>
    <row r="96" spans="1:11" s="3" customFormat="1" ht="15">
      <c r="A96" s="32"/>
      <c r="B96" s="33"/>
      <c r="C96" s="32"/>
      <c r="D96" s="32"/>
      <c r="E96" s="32"/>
      <c r="F96" s="32"/>
      <c r="G96" s="32"/>
      <c r="H96" s="32"/>
      <c r="I96" s="36"/>
      <c r="J96" s="32"/>
      <c r="K96" s="37"/>
    </row>
    <row r="97" spans="1:11" s="3" customFormat="1" ht="15">
      <c r="A97" s="32"/>
      <c r="B97" s="33"/>
      <c r="C97" s="32"/>
      <c r="D97" s="32"/>
      <c r="E97" s="32"/>
      <c r="F97" s="32"/>
      <c r="G97" s="32"/>
      <c r="H97" s="32"/>
      <c r="I97" s="36"/>
      <c r="J97" s="32"/>
      <c r="K97" s="37"/>
    </row>
    <row r="98" spans="1:11" s="3" customFormat="1" ht="15">
      <c r="A98" s="32"/>
      <c r="B98" s="33"/>
      <c r="C98" s="32"/>
      <c r="D98" s="32"/>
      <c r="E98" s="32"/>
      <c r="F98" s="32"/>
      <c r="G98" s="32"/>
      <c r="H98" s="32"/>
      <c r="I98" s="36"/>
      <c r="J98" s="32"/>
      <c r="K98" s="37"/>
    </row>
    <row r="99" spans="1:11" s="3" customFormat="1" ht="15">
      <c r="A99" s="32"/>
      <c r="B99" s="33"/>
      <c r="C99" s="32"/>
      <c r="D99" s="32"/>
      <c r="E99" s="32"/>
      <c r="F99" s="32"/>
      <c r="G99" s="32"/>
      <c r="H99" s="32"/>
      <c r="I99" s="36"/>
      <c r="J99" s="32"/>
      <c r="K99" s="37"/>
    </row>
    <row r="100" spans="1:11" s="3" customFormat="1" ht="15">
      <c r="A100" s="32"/>
      <c r="B100" s="33"/>
      <c r="C100" s="32"/>
      <c r="D100" s="32"/>
      <c r="E100" s="32"/>
      <c r="F100" s="32"/>
      <c r="G100" s="32"/>
      <c r="H100" s="32"/>
      <c r="I100" s="36"/>
      <c r="J100" s="32"/>
      <c r="K100" s="37"/>
    </row>
    <row r="101" spans="1:11" s="3" customFormat="1" ht="15">
      <c r="A101" s="32"/>
      <c r="B101" s="33"/>
      <c r="C101" s="32"/>
      <c r="D101" s="32"/>
      <c r="E101" s="32"/>
      <c r="F101" s="32"/>
      <c r="G101" s="32"/>
      <c r="H101" s="32"/>
      <c r="I101" s="36"/>
      <c r="J101" s="32"/>
      <c r="K101" s="37"/>
    </row>
    <row r="102" spans="1:11" s="3" customFormat="1" ht="15">
      <c r="A102" s="32"/>
      <c r="B102" s="33"/>
      <c r="C102" s="32"/>
      <c r="D102" s="32"/>
      <c r="E102" s="32"/>
      <c r="F102" s="32"/>
      <c r="G102" s="32"/>
      <c r="H102" s="32"/>
      <c r="I102" s="36"/>
      <c r="J102" s="32"/>
      <c r="K102" s="37"/>
    </row>
    <row r="103" spans="1:11" s="3" customFormat="1" ht="15">
      <c r="A103" s="32"/>
      <c r="B103" s="33"/>
      <c r="C103" s="32"/>
      <c r="D103" s="32"/>
      <c r="E103" s="32"/>
      <c r="F103" s="32"/>
      <c r="G103" s="32"/>
      <c r="H103" s="32"/>
      <c r="I103" s="36"/>
      <c r="J103" s="32"/>
      <c r="K103" s="37"/>
    </row>
    <row r="104" spans="1:11" s="3" customFormat="1" ht="15">
      <c r="A104" s="32"/>
      <c r="B104" s="33"/>
      <c r="C104" s="32"/>
      <c r="D104" s="32"/>
      <c r="E104" s="32"/>
      <c r="F104" s="32"/>
      <c r="G104" s="32"/>
      <c r="H104" s="32"/>
      <c r="I104" s="36"/>
      <c r="J104" s="32"/>
      <c r="K104" s="37"/>
    </row>
    <row r="105" spans="1:11" s="3" customFormat="1" ht="15">
      <c r="A105" s="32"/>
      <c r="B105" s="33"/>
      <c r="C105" s="32"/>
      <c r="D105" s="32"/>
      <c r="E105" s="32"/>
      <c r="F105" s="32"/>
      <c r="G105" s="32"/>
      <c r="H105" s="32"/>
      <c r="I105" s="36"/>
      <c r="J105" s="32"/>
      <c r="K105" s="37"/>
    </row>
    <row r="106" spans="1:11" s="3" customFormat="1" ht="15">
      <c r="A106" s="32"/>
      <c r="B106" s="33"/>
      <c r="C106" s="32"/>
      <c r="D106" s="32"/>
      <c r="E106" s="32"/>
      <c r="F106" s="32"/>
      <c r="G106" s="32"/>
      <c r="H106" s="32"/>
      <c r="I106" s="36"/>
      <c r="J106" s="32"/>
      <c r="K106" s="37"/>
    </row>
    <row r="107" spans="1:11" s="3" customFormat="1" ht="15">
      <c r="A107" s="32"/>
      <c r="B107" s="33"/>
      <c r="C107" s="32"/>
      <c r="D107" s="32"/>
      <c r="E107" s="32"/>
      <c r="F107" s="32"/>
      <c r="G107" s="32"/>
      <c r="H107" s="32"/>
      <c r="I107" s="36"/>
      <c r="J107" s="32"/>
      <c r="K107" s="37"/>
    </row>
    <row r="108" spans="1:11" s="3" customFormat="1" ht="15">
      <c r="A108" s="32"/>
      <c r="B108" s="33"/>
      <c r="C108" s="32"/>
      <c r="D108" s="32"/>
      <c r="E108" s="32"/>
      <c r="F108" s="32"/>
      <c r="G108" s="32"/>
      <c r="H108" s="32"/>
      <c r="I108" s="36"/>
      <c r="J108" s="32"/>
      <c r="K108" s="37"/>
    </row>
    <row r="109" spans="1:11" s="3" customFormat="1" ht="15">
      <c r="A109" s="32"/>
      <c r="B109" s="33"/>
      <c r="C109" s="32"/>
      <c r="D109" s="32"/>
      <c r="E109" s="32"/>
      <c r="F109" s="32"/>
      <c r="G109" s="32"/>
      <c r="H109" s="32"/>
      <c r="I109" s="36"/>
      <c r="J109" s="32"/>
      <c r="K109" s="37"/>
    </row>
    <row r="110" spans="1:11" s="3" customFormat="1" ht="15">
      <c r="A110" s="32"/>
      <c r="B110" s="33"/>
      <c r="C110" s="32"/>
      <c r="D110" s="32"/>
      <c r="E110" s="32"/>
      <c r="F110" s="32"/>
      <c r="G110" s="32"/>
      <c r="H110" s="32"/>
      <c r="I110" s="36"/>
      <c r="J110" s="32"/>
      <c r="K110" s="37"/>
    </row>
    <row r="111" spans="1:11" s="3" customFormat="1" ht="15">
      <c r="A111" s="32"/>
      <c r="B111" s="33"/>
      <c r="C111" s="32"/>
      <c r="D111" s="32"/>
      <c r="E111" s="32"/>
      <c r="F111" s="32"/>
      <c r="G111" s="32"/>
      <c r="H111" s="32"/>
      <c r="I111" s="36"/>
      <c r="J111" s="32"/>
      <c r="K111" s="37"/>
    </row>
    <row r="112" spans="1:11" s="3" customFormat="1" ht="15">
      <c r="A112" s="32"/>
      <c r="B112" s="33"/>
      <c r="C112" s="32"/>
      <c r="D112" s="32"/>
      <c r="E112" s="32"/>
      <c r="F112" s="32"/>
      <c r="G112" s="32"/>
      <c r="H112" s="32"/>
      <c r="I112" s="36"/>
      <c r="J112" s="32"/>
      <c r="K112" s="37"/>
    </row>
    <row r="113" spans="1:11" s="3" customFormat="1" ht="15">
      <c r="A113" s="32"/>
      <c r="B113" s="33"/>
      <c r="C113" s="32"/>
      <c r="D113" s="32"/>
      <c r="E113" s="32"/>
      <c r="F113" s="32"/>
      <c r="G113" s="32"/>
      <c r="H113" s="32"/>
      <c r="I113" s="36"/>
      <c r="J113" s="32"/>
      <c r="K113" s="37"/>
    </row>
    <row r="114" spans="1:11" s="3" customFormat="1" ht="15">
      <c r="A114" s="32"/>
      <c r="B114" s="33"/>
      <c r="C114" s="32"/>
      <c r="D114" s="32"/>
      <c r="E114" s="32"/>
      <c r="F114" s="32"/>
      <c r="G114" s="32"/>
      <c r="H114" s="32"/>
      <c r="I114" s="36"/>
      <c r="J114" s="32"/>
      <c r="K114" s="37"/>
    </row>
    <row r="115" spans="1:11" s="3" customFormat="1" ht="15">
      <c r="A115" s="32"/>
      <c r="B115" s="33"/>
      <c r="C115" s="32"/>
      <c r="D115" s="32"/>
      <c r="E115" s="32"/>
      <c r="F115" s="32"/>
      <c r="G115" s="32"/>
      <c r="H115" s="32"/>
      <c r="I115" s="36"/>
      <c r="J115" s="32"/>
      <c r="K115" s="37"/>
    </row>
    <row r="116" spans="1:11" s="3" customFormat="1" ht="15">
      <c r="A116" s="32"/>
      <c r="B116" s="33"/>
      <c r="C116" s="32"/>
      <c r="D116" s="32"/>
      <c r="E116" s="32"/>
      <c r="F116" s="32"/>
      <c r="G116" s="32"/>
      <c r="H116" s="32"/>
      <c r="I116" s="36"/>
      <c r="J116" s="32"/>
      <c r="K116" s="37"/>
    </row>
    <row r="117" spans="1:11" s="3" customFormat="1" ht="15">
      <c r="A117" s="32"/>
      <c r="B117" s="33"/>
      <c r="C117" s="32"/>
      <c r="D117" s="32"/>
      <c r="E117" s="32"/>
      <c r="F117" s="32"/>
      <c r="G117" s="32"/>
      <c r="H117" s="32"/>
      <c r="I117" s="36"/>
      <c r="J117" s="32"/>
      <c r="K117" s="37"/>
    </row>
    <row r="118" spans="1:11" s="3" customFormat="1" ht="15">
      <c r="A118" s="32"/>
      <c r="B118" s="33"/>
      <c r="C118" s="32"/>
      <c r="D118" s="32"/>
      <c r="E118" s="32"/>
      <c r="F118" s="32"/>
      <c r="G118" s="32"/>
      <c r="H118" s="32"/>
      <c r="I118" s="36"/>
      <c r="J118" s="32"/>
      <c r="K118" s="37"/>
    </row>
    <row r="119" spans="1:11" s="3" customFormat="1" ht="15">
      <c r="A119" s="32"/>
      <c r="B119" s="33"/>
      <c r="C119" s="32"/>
      <c r="D119" s="32"/>
      <c r="E119" s="32"/>
      <c r="F119" s="32"/>
      <c r="G119" s="32"/>
      <c r="H119" s="32"/>
      <c r="I119" s="36"/>
      <c r="J119" s="32"/>
      <c r="K119" s="37"/>
    </row>
    <row r="120" spans="1:11" s="3" customFormat="1" ht="15">
      <c r="A120" s="32"/>
      <c r="B120" s="33"/>
      <c r="C120" s="32"/>
      <c r="D120" s="32"/>
      <c r="E120" s="32"/>
      <c r="F120" s="32"/>
      <c r="G120" s="32"/>
      <c r="H120" s="32"/>
      <c r="I120" s="36"/>
      <c r="J120" s="32"/>
      <c r="K120" s="37"/>
    </row>
    <row r="121" spans="1:11" s="3" customFormat="1" ht="15">
      <c r="A121" s="32"/>
      <c r="B121" s="33"/>
      <c r="C121" s="32"/>
      <c r="D121" s="32"/>
      <c r="E121" s="32"/>
      <c r="F121" s="32"/>
      <c r="G121" s="32"/>
      <c r="H121" s="32"/>
      <c r="I121" s="36"/>
      <c r="J121" s="32"/>
      <c r="K121" s="37"/>
    </row>
    <row r="122" spans="1:11" s="3" customFormat="1" ht="15">
      <c r="A122" s="32"/>
      <c r="B122" s="33"/>
      <c r="C122" s="32"/>
      <c r="D122" s="32"/>
      <c r="E122" s="32"/>
      <c r="F122" s="32"/>
      <c r="G122" s="32"/>
      <c r="H122" s="32"/>
      <c r="I122" s="36"/>
      <c r="J122" s="32"/>
      <c r="K122" s="37"/>
    </row>
    <row r="123" spans="1:11" s="3" customFormat="1" ht="15">
      <c r="A123" s="32"/>
      <c r="B123" s="33"/>
      <c r="C123" s="32"/>
      <c r="D123" s="32"/>
      <c r="E123" s="32"/>
      <c r="F123" s="32"/>
      <c r="G123" s="32"/>
      <c r="H123" s="32"/>
      <c r="I123" s="36"/>
      <c r="J123" s="32"/>
      <c r="K123" s="37"/>
    </row>
    <row r="124" spans="1:11" s="3" customFormat="1" ht="15">
      <c r="A124" s="32"/>
      <c r="B124" s="33"/>
      <c r="C124" s="32"/>
      <c r="D124" s="32"/>
      <c r="E124" s="32"/>
      <c r="F124" s="32"/>
      <c r="G124" s="32"/>
      <c r="H124" s="32"/>
      <c r="I124" s="36"/>
      <c r="J124" s="32"/>
      <c r="K124" s="37"/>
    </row>
    <row r="125" spans="1:11" s="3" customFormat="1" ht="15">
      <c r="A125" s="32"/>
      <c r="B125" s="33"/>
      <c r="C125" s="32"/>
      <c r="D125" s="32"/>
      <c r="E125" s="32"/>
      <c r="F125" s="32"/>
      <c r="G125" s="32"/>
      <c r="H125" s="32"/>
      <c r="I125" s="36"/>
      <c r="J125" s="32"/>
      <c r="K125" s="37"/>
    </row>
  </sheetData>
  <sheetProtection/>
  <mergeCells count="12">
    <mergeCell ref="A73:K73"/>
    <mergeCell ref="A3:A4"/>
    <mergeCell ref="B3:B4"/>
    <mergeCell ref="C3:C4"/>
    <mergeCell ref="F3:F4"/>
    <mergeCell ref="G3:G4"/>
    <mergeCell ref="A1:K1"/>
    <mergeCell ref="A2:K2"/>
    <mergeCell ref="D3:E3"/>
    <mergeCell ref="H3:I3"/>
    <mergeCell ref="J3:K3"/>
    <mergeCell ref="A72:I72"/>
  </mergeCells>
  <printOptions/>
  <pageMargins left="0.62" right="0.39" top="0.59" bottom="0.59" header="0.51" footer="0.39"/>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P72"/>
  <sheetViews>
    <sheetView tabSelected="1" zoomScale="70" zoomScaleNormal="70" zoomScalePageLayoutView="0" workbookViewId="0" topLeftCell="A1">
      <pane ySplit="5" topLeftCell="A63" activePane="bottomLeft" state="frozen"/>
      <selection pane="topLeft" activeCell="A1" sqref="A1"/>
      <selection pane="bottomLeft" activeCell="H65" sqref="H65"/>
    </sheetView>
  </sheetViews>
  <sheetFormatPr defaultColWidth="9.00390625" defaultRowHeight="14.25"/>
  <cols>
    <col min="1" max="1" width="9.00390625" style="8" customWidth="1"/>
    <col min="2" max="2" width="28.375" style="8" customWidth="1"/>
    <col min="3" max="3" width="6.25390625" style="8" customWidth="1"/>
    <col min="4" max="4" width="10.625" style="8" customWidth="1"/>
    <col min="5" max="5" width="10.625" style="242" customWidth="1"/>
    <col min="6" max="6" width="10.625" style="8" customWidth="1"/>
    <col min="7" max="7" width="10.625" style="242" customWidth="1"/>
    <col min="8" max="8" width="10.625" style="243" customWidth="1"/>
    <col min="9" max="16" width="10.625" style="8" customWidth="1"/>
    <col min="17" max="16384" width="9.00390625" style="8" customWidth="1"/>
  </cols>
  <sheetData>
    <row r="1" ht="21" customHeight="1">
      <c r="A1" s="475" t="s">
        <v>491</v>
      </c>
    </row>
    <row r="2" spans="1:16" s="241" customFormat="1" ht="30.75" customHeight="1">
      <c r="A2" s="474" t="s">
        <v>490</v>
      </c>
      <c r="B2" s="474"/>
      <c r="C2" s="474"/>
      <c r="D2" s="474"/>
      <c r="E2" s="474"/>
      <c r="F2" s="474"/>
      <c r="G2" s="474"/>
      <c r="H2" s="474"/>
      <c r="I2" s="474"/>
      <c r="J2" s="474"/>
      <c r="K2" s="474"/>
      <c r="L2" s="474"/>
      <c r="M2" s="474"/>
      <c r="N2" s="474"/>
      <c r="O2" s="474"/>
      <c r="P2" s="474"/>
    </row>
    <row r="3" spans="1:16" s="38" customFormat="1" ht="25.5" customHeight="1">
      <c r="A3" s="308" t="s">
        <v>13</v>
      </c>
      <c r="B3" s="308" t="s">
        <v>14</v>
      </c>
      <c r="C3" s="308" t="s">
        <v>15</v>
      </c>
      <c r="D3" s="303" t="s">
        <v>172</v>
      </c>
      <c r="E3" s="304"/>
      <c r="F3" s="304"/>
      <c r="G3" s="304"/>
      <c r="H3" s="305"/>
      <c r="I3" s="303" t="s">
        <v>173</v>
      </c>
      <c r="J3" s="304"/>
      <c r="K3" s="304"/>
      <c r="L3" s="304"/>
      <c r="M3" s="305"/>
      <c r="N3" s="316" t="s">
        <v>174</v>
      </c>
      <c r="O3" s="317"/>
      <c r="P3" s="308" t="s">
        <v>175</v>
      </c>
    </row>
    <row r="4" spans="1:16" s="38" customFormat="1" ht="31.5" customHeight="1">
      <c r="A4" s="309"/>
      <c r="B4" s="309"/>
      <c r="C4" s="309"/>
      <c r="D4" s="311" t="s">
        <v>176</v>
      </c>
      <c r="E4" s="312" t="s">
        <v>17</v>
      </c>
      <c r="F4" s="311" t="s">
        <v>18</v>
      </c>
      <c r="G4" s="306" t="s">
        <v>177</v>
      </c>
      <c r="H4" s="307"/>
      <c r="I4" s="311" t="s">
        <v>176</v>
      </c>
      <c r="J4" s="312" t="s">
        <v>17</v>
      </c>
      <c r="K4" s="311" t="s">
        <v>18</v>
      </c>
      <c r="L4" s="306" t="s">
        <v>177</v>
      </c>
      <c r="M4" s="307"/>
      <c r="N4" s="318"/>
      <c r="O4" s="319"/>
      <c r="P4" s="315"/>
    </row>
    <row r="5" spans="1:16" s="38" customFormat="1" ht="30" customHeight="1">
      <c r="A5" s="310"/>
      <c r="B5" s="310"/>
      <c r="C5" s="310"/>
      <c r="D5" s="311"/>
      <c r="E5" s="313"/>
      <c r="F5" s="314"/>
      <c r="G5" s="244" t="s">
        <v>178</v>
      </c>
      <c r="H5" s="245" t="s">
        <v>179</v>
      </c>
      <c r="I5" s="311"/>
      <c r="J5" s="313"/>
      <c r="K5" s="314"/>
      <c r="L5" s="244" t="s">
        <v>178</v>
      </c>
      <c r="M5" s="245" t="s">
        <v>179</v>
      </c>
      <c r="N5" s="244" t="s">
        <v>178</v>
      </c>
      <c r="O5" s="245" t="s">
        <v>179</v>
      </c>
      <c r="P5" s="260"/>
    </row>
    <row r="6" spans="1:16" s="38" customFormat="1" ht="27.75" customHeight="1">
      <c r="A6" s="246" t="s">
        <v>25</v>
      </c>
      <c r="B6" s="247" t="s">
        <v>26</v>
      </c>
      <c r="C6" s="246" t="s">
        <v>27</v>
      </c>
      <c r="D6" s="246">
        <v>3.45</v>
      </c>
      <c r="E6" s="248">
        <f>'清单表'!F5</f>
        <v>3770</v>
      </c>
      <c r="F6" s="249">
        <v>0</v>
      </c>
      <c r="G6" s="250">
        <f>F6-E6</f>
        <v>-3770</v>
      </c>
      <c r="H6" s="251">
        <f>G6*D6</f>
        <v>-13006.5</v>
      </c>
      <c r="I6" s="246">
        <v>3.45</v>
      </c>
      <c r="J6" s="248">
        <f>6.5*580</f>
        <v>3770</v>
      </c>
      <c r="K6" s="249">
        <v>0</v>
      </c>
      <c r="L6" s="250">
        <f>K6-J6</f>
        <v>-3770</v>
      </c>
      <c r="M6" s="251">
        <f>L6*I6</f>
        <v>-13006.5</v>
      </c>
      <c r="N6" s="261">
        <f>L6-G6</f>
        <v>0</v>
      </c>
      <c r="O6" s="262">
        <f>M6-H6</f>
        <v>0</v>
      </c>
      <c r="P6" s="263"/>
    </row>
    <row r="7" spans="1:16" s="38" customFormat="1" ht="27.75" customHeight="1">
      <c r="A7" s="246" t="s">
        <v>28</v>
      </c>
      <c r="B7" s="247" t="s">
        <v>29</v>
      </c>
      <c r="C7" s="246" t="s">
        <v>30</v>
      </c>
      <c r="D7" s="246">
        <v>176.47</v>
      </c>
      <c r="E7" s="248">
        <f>'清单表'!F6</f>
        <v>20</v>
      </c>
      <c r="F7" s="249">
        <v>0</v>
      </c>
      <c r="G7" s="250">
        <f aca="true" t="shared" si="0" ref="G7:G28">F7-E7</f>
        <v>-20</v>
      </c>
      <c r="H7" s="251">
        <f aca="true" t="shared" si="1" ref="H7:H28">G7*D7</f>
        <v>-3529.4</v>
      </c>
      <c r="I7" s="246">
        <v>176.47</v>
      </c>
      <c r="J7" s="248">
        <v>20</v>
      </c>
      <c r="K7" s="249">
        <v>0</v>
      </c>
      <c r="L7" s="250">
        <f aca="true" t="shared" si="2" ref="L7:L18">K7-J7</f>
        <v>-20</v>
      </c>
      <c r="M7" s="251">
        <f aca="true" t="shared" si="3" ref="M7:M18">L7*I7</f>
        <v>-3529.4</v>
      </c>
      <c r="N7" s="261">
        <f aca="true" t="shared" si="4" ref="N7:N18">L7-G7</f>
        <v>0</v>
      </c>
      <c r="O7" s="262">
        <f aca="true" t="shared" si="5" ref="O7:O18">M7-H7</f>
        <v>0</v>
      </c>
      <c r="P7" s="263"/>
    </row>
    <row r="8" spans="1:16" s="38" customFormat="1" ht="27.75" customHeight="1">
      <c r="A8" s="246" t="s">
        <v>31</v>
      </c>
      <c r="B8" s="247" t="s">
        <v>32</v>
      </c>
      <c r="C8" s="246" t="s">
        <v>30</v>
      </c>
      <c r="D8" s="246">
        <v>82.18</v>
      </c>
      <c r="E8" s="248">
        <f>'清单表'!F7</f>
        <v>480</v>
      </c>
      <c r="F8" s="249">
        <v>0</v>
      </c>
      <c r="G8" s="250">
        <f t="shared" si="0"/>
        <v>-480</v>
      </c>
      <c r="H8" s="251">
        <f t="shared" si="1"/>
        <v>-39446.4</v>
      </c>
      <c r="I8" s="246">
        <v>82.18</v>
      </c>
      <c r="J8" s="248">
        <v>480</v>
      </c>
      <c r="K8" s="249">
        <v>0</v>
      </c>
      <c r="L8" s="250">
        <f t="shared" si="2"/>
        <v>-480</v>
      </c>
      <c r="M8" s="251">
        <f t="shared" si="3"/>
        <v>-39446.4</v>
      </c>
      <c r="N8" s="261">
        <f t="shared" si="4"/>
        <v>0</v>
      </c>
      <c r="O8" s="262">
        <f t="shared" si="5"/>
        <v>0</v>
      </c>
      <c r="P8" s="263"/>
    </row>
    <row r="9" spans="1:16" s="38" customFormat="1" ht="27.75" customHeight="1">
      <c r="A9" s="246" t="s">
        <v>33</v>
      </c>
      <c r="B9" s="247" t="s">
        <v>34</v>
      </c>
      <c r="C9" s="246" t="s">
        <v>30</v>
      </c>
      <c r="D9" s="246">
        <v>19.43</v>
      </c>
      <c r="E9" s="248">
        <f>'清单表'!F8</f>
        <v>3119</v>
      </c>
      <c r="F9" s="249">
        <v>0</v>
      </c>
      <c r="G9" s="250">
        <f t="shared" si="0"/>
        <v>-3119</v>
      </c>
      <c r="H9" s="251">
        <f t="shared" si="1"/>
        <v>-60602.17</v>
      </c>
      <c r="I9" s="246">
        <v>19.43</v>
      </c>
      <c r="J9" s="248">
        <v>3119</v>
      </c>
      <c r="K9" s="249">
        <v>0</v>
      </c>
      <c r="L9" s="250">
        <f t="shared" si="2"/>
        <v>-3119</v>
      </c>
      <c r="M9" s="251">
        <f t="shared" si="3"/>
        <v>-60602.17</v>
      </c>
      <c r="N9" s="261">
        <f t="shared" si="4"/>
        <v>0</v>
      </c>
      <c r="O9" s="262">
        <f t="shared" si="5"/>
        <v>0</v>
      </c>
      <c r="P9" s="263"/>
    </row>
    <row r="10" spans="1:16" s="38" customFormat="1" ht="27.75" customHeight="1">
      <c r="A10" s="246" t="s">
        <v>35</v>
      </c>
      <c r="B10" s="247" t="s">
        <v>36</v>
      </c>
      <c r="C10" s="246" t="s">
        <v>30</v>
      </c>
      <c r="D10" s="246">
        <v>73.68</v>
      </c>
      <c r="E10" s="248">
        <f>'清单表'!F9</f>
        <v>118</v>
      </c>
      <c r="F10" s="249">
        <v>0</v>
      </c>
      <c r="G10" s="250">
        <f t="shared" si="0"/>
        <v>-118</v>
      </c>
      <c r="H10" s="251">
        <f t="shared" si="1"/>
        <v>-8694.240000000002</v>
      </c>
      <c r="I10" s="246">
        <v>73.68</v>
      </c>
      <c r="J10" s="248">
        <v>118</v>
      </c>
      <c r="K10" s="249">
        <v>0</v>
      </c>
      <c r="L10" s="250">
        <f t="shared" si="2"/>
        <v>-118</v>
      </c>
      <c r="M10" s="251">
        <f t="shared" si="3"/>
        <v>-8694.240000000002</v>
      </c>
      <c r="N10" s="261">
        <f t="shared" si="4"/>
        <v>0</v>
      </c>
      <c r="O10" s="262">
        <f t="shared" si="5"/>
        <v>0</v>
      </c>
      <c r="P10" s="263"/>
    </row>
    <row r="11" spans="1:16" s="38" customFormat="1" ht="27.75" customHeight="1">
      <c r="A11" s="246" t="s">
        <v>37</v>
      </c>
      <c r="B11" s="247" t="s">
        <v>38</v>
      </c>
      <c r="C11" s="246" t="s">
        <v>30</v>
      </c>
      <c r="D11" s="246">
        <v>7.41</v>
      </c>
      <c r="E11" s="248">
        <f>'清单表'!F10</f>
        <v>2089</v>
      </c>
      <c r="F11" s="249">
        <v>0</v>
      </c>
      <c r="G11" s="250">
        <f t="shared" si="0"/>
        <v>-2089</v>
      </c>
      <c r="H11" s="251">
        <f t="shared" si="1"/>
        <v>-15479.49</v>
      </c>
      <c r="I11" s="246">
        <v>7.41</v>
      </c>
      <c r="J11" s="248">
        <v>2089</v>
      </c>
      <c r="K11" s="249">
        <v>0</v>
      </c>
      <c r="L11" s="250">
        <f t="shared" si="2"/>
        <v>-2089</v>
      </c>
      <c r="M11" s="251">
        <f t="shared" si="3"/>
        <v>-15479.49</v>
      </c>
      <c r="N11" s="261">
        <f t="shared" si="4"/>
        <v>0</v>
      </c>
      <c r="O11" s="262">
        <f t="shared" si="5"/>
        <v>0</v>
      </c>
      <c r="P11" s="263"/>
    </row>
    <row r="12" spans="1:16" s="38" customFormat="1" ht="27.75" customHeight="1">
      <c r="A12" s="246" t="s">
        <v>39</v>
      </c>
      <c r="B12" s="247" t="s">
        <v>40</v>
      </c>
      <c r="C12" s="246" t="s">
        <v>30</v>
      </c>
      <c r="D12" s="246">
        <v>60.32</v>
      </c>
      <c r="E12" s="248">
        <f>'清单表'!F11</f>
        <v>7285</v>
      </c>
      <c r="F12" s="249">
        <v>0</v>
      </c>
      <c r="G12" s="250">
        <f t="shared" si="0"/>
        <v>-7285</v>
      </c>
      <c r="H12" s="251">
        <f t="shared" si="1"/>
        <v>-439431.2</v>
      </c>
      <c r="I12" s="246">
        <v>60.32</v>
      </c>
      <c r="J12" s="248">
        <f>7285+108</f>
        <v>7393</v>
      </c>
      <c r="K12" s="249">
        <v>0</v>
      </c>
      <c r="L12" s="250">
        <f t="shared" si="2"/>
        <v>-7393</v>
      </c>
      <c r="M12" s="251">
        <f t="shared" si="3"/>
        <v>-445945.76</v>
      </c>
      <c r="N12" s="261">
        <f t="shared" si="4"/>
        <v>-108</v>
      </c>
      <c r="O12" s="262">
        <f t="shared" si="5"/>
        <v>-6514.559999999998</v>
      </c>
      <c r="P12" s="263"/>
    </row>
    <row r="13" spans="1:16" s="38" customFormat="1" ht="27.75" customHeight="1">
      <c r="A13" s="246" t="s">
        <v>41</v>
      </c>
      <c r="B13" s="247" t="s">
        <v>42</v>
      </c>
      <c r="C13" s="246" t="s">
        <v>30</v>
      </c>
      <c r="D13" s="246">
        <v>65.71</v>
      </c>
      <c r="E13" s="248">
        <f>'清单表'!F12</f>
        <v>1377</v>
      </c>
      <c r="F13" s="249">
        <v>0</v>
      </c>
      <c r="G13" s="250">
        <f t="shared" si="0"/>
        <v>-1377</v>
      </c>
      <c r="H13" s="251">
        <f t="shared" si="1"/>
        <v>-90482.67</v>
      </c>
      <c r="I13" s="246">
        <v>65.71</v>
      </c>
      <c r="J13" s="248">
        <v>1377</v>
      </c>
      <c r="K13" s="249">
        <v>0</v>
      </c>
      <c r="L13" s="250">
        <f t="shared" si="2"/>
        <v>-1377</v>
      </c>
      <c r="M13" s="251">
        <f t="shared" si="3"/>
        <v>-90482.67</v>
      </c>
      <c r="N13" s="261">
        <f t="shared" si="4"/>
        <v>0</v>
      </c>
      <c r="O13" s="262">
        <f t="shared" si="5"/>
        <v>0</v>
      </c>
      <c r="P13" s="263"/>
    </row>
    <row r="14" spans="1:16" s="38" customFormat="1" ht="27.75" customHeight="1">
      <c r="A14" s="246" t="s">
        <v>43</v>
      </c>
      <c r="B14" s="247" t="s">
        <v>44</v>
      </c>
      <c r="C14" s="246" t="s">
        <v>30</v>
      </c>
      <c r="D14" s="246">
        <v>86.99</v>
      </c>
      <c r="E14" s="248">
        <f>'清单表'!F13</f>
        <v>193.61</v>
      </c>
      <c r="F14" s="249">
        <v>0</v>
      </c>
      <c r="G14" s="250">
        <f t="shared" si="0"/>
        <v>-193.61</v>
      </c>
      <c r="H14" s="251">
        <f t="shared" si="1"/>
        <v>-16842.1339</v>
      </c>
      <c r="I14" s="246">
        <v>86.99</v>
      </c>
      <c r="J14" s="248">
        <v>193.61</v>
      </c>
      <c r="K14" s="249">
        <v>0</v>
      </c>
      <c r="L14" s="250">
        <f t="shared" si="2"/>
        <v>-193.61</v>
      </c>
      <c r="M14" s="251">
        <f t="shared" si="3"/>
        <v>-16842.1339</v>
      </c>
      <c r="N14" s="261">
        <f t="shared" si="4"/>
        <v>0</v>
      </c>
      <c r="O14" s="262">
        <f t="shared" si="5"/>
        <v>0</v>
      </c>
      <c r="P14" s="263"/>
    </row>
    <row r="15" spans="1:16" s="38" customFormat="1" ht="27.75" customHeight="1">
      <c r="A15" s="246" t="s">
        <v>45</v>
      </c>
      <c r="B15" s="247" t="s">
        <v>46</v>
      </c>
      <c r="C15" s="246" t="s">
        <v>27</v>
      </c>
      <c r="D15" s="246">
        <v>12.4</v>
      </c>
      <c r="E15" s="248">
        <f>'清单表'!F14</f>
        <v>642</v>
      </c>
      <c r="F15" s="249">
        <v>0</v>
      </c>
      <c r="G15" s="250">
        <f t="shared" si="0"/>
        <v>-642</v>
      </c>
      <c r="H15" s="251">
        <f t="shared" si="1"/>
        <v>-7960.8</v>
      </c>
      <c r="I15" s="246">
        <v>12.4</v>
      </c>
      <c r="J15" s="248">
        <v>642</v>
      </c>
      <c r="K15" s="249">
        <v>0</v>
      </c>
      <c r="L15" s="250">
        <f t="shared" si="2"/>
        <v>-642</v>
      </c>
      <c r="M15" s="251">
        <f t="shared" si="3"/>
        <v>-7960.8</v>
      </c>
      <c r="N15" s="261">
        <f t="shared" si="4"/>
        <v>0</v>
      </c>
      <c r="O15" s="262">
        <f t="shared" si="5"/>
        <v>0</v>
      </c>
      <c r="P15" s="263"/>
    </row>
    <row r="16" spans="1:16" s="38" customFormat="1" ht="36" customHeight="1">
      <c r="A16" s="246" t="s">
        <v>47</v>
      </c>
      <c r="B16" s="247" t="s">
        <v>48</v>
      </c>
      <c r="C16" s="246" t="s">
        <v>30</v>
      </c>
      <c r="D16" s="246">
        <v>378.61</v>
      </c>
      <c r="E16" s="248">
        <f>'清单表'!F15</f>
        <v>242.7707142857143</v>
      </c>
      <c r="F16" s="249">
        <v>0</v>
      </c>
      <c r="G16" s="250">
        <f t="shared" si="0"/>
        <v>-242.7707142857143</v>
      </c>
      <c r="H16" s="251">
        <f t="shared" si="1"/>
        <v>-91915.42013571429</v>
      </c>
      <c r="I16" s="246">
        <v>378.61</v>
      </c>
      <c r="J16" s="248">
        <v>242.77</v>
      </c>
      <c r="K16" s="249">
        <v>0</v>
      </c>
      <c r="L16" s="250">
        <f t="shared" si="2"/>
        <v>-242.77</v>
      </c>
      <c r="M16" s="251">
        <f t="shared" si="3"/>
        <v>-91915.14970000001</v>
      </c>
      <c r="N16" s="261">
        <f t="shared" si="4"/>
        <v>0.0007142857142810044</v>
      </c>
      <c r="O16" s="262">
        <f t="shared" si="5"/>
        <v>0.27043571427930146</v>
      </c>
      <c r="P16" s="263"/>
    </row>
    <row r="17" spans="1:16" s="38" customFormat="1" ht="27.75" customHeight="1">
      <c r="A17" s="246" t="s">
        <v>49</v>
      </c>
      <c r="B17" s="247" t="s">
        <v>50</v>
      </c>
      <c r="C17" s="246" t="s">
        <v>51</v>
      </c>
      <c r="D17" s="246">
        <v>701.18</v>
      </c>
      <c r="E17" s="248">
        <f>'清单表'!F16</f>
        <v>115</v>
      </c>
      <c r="F17" s="249">
        <v>0</v>
      </c>
      <c r="G17" s="250">
        <f t="shared" si="0"/>
        <v>-115</v>
      </c>
      <c r="H17" s="251">
        <f t="shared" si="1"/>
        <v>-80635.7</v>
      </c>
      <c r="I17" s="246">
        <v>701.18</v>
      </c>
      <c r="J17" s="248">
        <v>115</v>
      </c>
      <c r="K17" s="249">
        <v>0</v>
      </c>
      <c r="L17" s="250">
        <f t="shared" si="2"/>
        <v>-115</v>
      </c>
      <c r="M17" s="251">
        <f t="shared" si="3"/>
        <v>-80635.7</v>
      </c>
      <c r="N17" s="261">
        <f t="shared" si="4"/>
        <v>0</v>
      </c>
      <c r="O17" s="262">
        <f t="shared" si="5"/>
        <v>0</v>
      </c>
      <c r="P17" s="263"/>
    </row>
    <row r="18" spans="1:16" s="38" customFormat="1" ht="27.75" customHeight="1">
      <c r="A18" s="246" t="s">
        <v>52</v>
      </c>
      <c r="B18" s="247" t="s">
        <v>53</v>
      </c>
      <c r="C18" s="246" t="s">
        <v>27</v>
      </c>
      <c r="D18" s="246">
        <v>13.5</v>
      </c>
      <c r="E18" s="248">
        <f>'清单表'!F17</f>
        <v>591.12</v>
      </c>
      <c r="F18" s="249">
        <v>0</v>
      </c>
      <c r="G18" s="250">
        <f t="shared" si="0"/>
        <v>-591.12</v>
      </c>
      <c r="H18" s="251">
        <f t="shared" si="1"/>
        <v>-7980.12</v>
      </c>
      <c r="I18" s="246">
        <v>13.5</v>
      </c>
      <c r="J18" s="248">
        <v>591.12</v>
      </c>
      <c r="K18" s="249">
        <v>0</v>
      </c>
      <c r="L18" s="250">
        <f t="shared" si="2"/>
        <v>-591.12</v>
      </c>
      <c r="M18" s="251">
        <f t="shared" si="3"/>
        <v>-7980.12</v>
      </c>
      <c r="N18" s="261">
        <f t="shared" si="4"/>
        <v>0</v>
      </c>
      <c r="O18" s="262">
        <f t="shared" si="5"/>
        <v>0</v>
      </c>
      <c r="P18" s="263"/>
    </row>
    <row r="19" spans="1:16" s="38" customFormat="1" ht="27.75" customHeight="1">
      <c r="A19" s="246" t="s">
        <v>54</v>
      </c>
      <c r="B19" s="247" t="s">
        <v>55</v>
      </c>
      <c r="C19" s="246" t="s">
        <v>30</v>
      </c>
      <c r="D19" s="246">
        <v>340.67</v>
      </c>
      <c r="E19" s="248">
        <f>'清单表'!F18</f>
        <v>1688.0542857142857</v>
      </c>
      <c r="F19" s="249">
        <v>0</v>
      </c>
      <c r="G19" s="250">
        <f t="shared" si="0"/>
        <v>-1688.0542857142857</v>
      </c>
      <c r="H19" s="251">
        <f t="shared" si="1"/>
        <v>-575069.4535142857</v>
      </c>
      <c r="I19" s="246">
        <v>340.67</v>
      </c>
      <c r="J19" s="248">
        <v>1688.05</v>
      </c>
      <c r="K19" s="249">
        <v>0</v>
      </c>
      <c r="L19" s="250">
        <f aca="true" t="shared" si="6" ref="L19:L28">K19-J19</f>
        <v>-1688.05</v>
      </c>
      <c r="M19" s="251">
        <f aca="true" t="shared" si="7" ref="M19:M28">L19*I19</f>
        <v>-575067.9935</v>
      </c>
      <c r="N19" s="261">
        <f aca="true" t="shared" si="8" ref="N19:N28">L19-G19</f>
        <v>0.00428571428574287</v>
      </c>
      <c r="O19" s="262">
        <f aca="true" t="shared" si="9" ref="O19:O28">M19-H19</f>
        <v>1.4600142857525498</v>
      </c>
      <c r="P19" s="263"/>
    </row>
    <row r="20" spans="1:16" s="38" customFormat="1" ht="27.75" customHeight="1">
      <c r="A20" s="246" t="s">
        <v>56</v>
      </c>
      <c r="B20" s="247" t="s">
        <v>57</v>
      </c>
      <c r="C20" s="246" t="s">
        <v>30</v>
      </c>
      <c r="D20" s="246">
        <v>328.56</v>
      </c>
      <c r="E20" s="248">
        <f>'清单表'!F19</f>
        <v>1943.08696</v>
      </c>
      <c r="F20" s="249">
        <v>0</v>
      </c>
      <c r="G20" s="250">
        <f t="shared" si="0"/>
        <v>-1943.08696</v>
      </c>
      <c r="H20" s="251">
        <f t="shared" si="1"/>
        <v>-638420.6515776</v>
      </c>
      <c r="I20" s="246">
        <v>328.56</v>
      </c>
      <c r="J20" s="248">
        <v>1943.09</v>
      </c>
      <c r="K20" s="249">
        <v>0</v>
      </c>
      <c r="L20" s="250">
        <f t="shared" si="6"/>
        <v>-1943.09</v>
      </c>
      <c r="M20" s="251">
        <f t="shared" si="7"/>
        <v>-638421.6503999999</v>
      </c>
      <c r="N20" s="261">
        <f t="shared" si="8"/>
        <v>-0.003039999999828069</v>
      </c>
      <c r="O20" s="262">
        <f t="shared" si="9"/>
        <v>-0.9988223998807371</v>
      </c>
      <c r="P20" s="263"/>
    </row>
    <row r="21" spans="1:16" s="38" customFormat="1" ht="27.75" customHeight="1">
      <c r="A21" s="246" t="s">
        <v>58</v>
      </c>
      <c r="B21" s="247" t="s">
        <v>59</v>
      </c>
      <c r="C21" s="246" t="s">
        <v>30</v>
      </c>
      <c r="D21" s="246">
        <v>199.36</v>
      </c>
      <c r="E21" s="248">
        <f>'清单表'!F20</f>
        <v>374.09999999999997</v>
      </c>
      <c r="F21" s="249">
        <v>0</v>
      </c>
      <c r="G21" s="250">
        <f t="shared" si="0"/>
        <v>-374.09999999999997</v>
      </c>
      <c r="H21" s="251">
        <f t="shared" si="1"/>
        <v>-74580.576</v>
      </c>
      <c r="I21" s="246">
        <v>199.36</v>
      </c>
      <c r="J21" s="248">
        <v>374.1</v>
      </c>
      <c r="K21" s="249">
        <v>0</v>
      </c>
      <c r="L21" s="250">
        <f t="shared" si="6"/>
        <v>-374.1</v>
      </c>
      <c r="M21" s="251">
        <f t="shared" si="7"/>
        <v>-74580.57600000002</v>
      </c>
      <c r="N21" s="261">
        <f t="shared" si="8"/>
        <v>0</v>
      </c>
      <c r="O21" s="262">
        <f t="shared" si="9"/>
        <v>0</v>
      </c>
      <c r="P21" s="263"/>
    </row>
    <row r="22" spans="1:16" s="38" customFormat="1" ht="27.75" customHeight="1">
      <c r="A22" s="246" t="s">
        <v>60</v>
      </c>
      <c r="B22" s="249" t="s">
        <v>61</v>
      </c>
      <c r="C22" s="246" t="s">
        <v>30</v>
      </c>
      <c r="D22" s="246">
        <v>376.18</v>
      </c>
      <c r="E22" s="248">
        <f>'清单表'!F21</f>
        <v>44.6</v>
      </c>
      <c r="F22" s="249">
        <v>0</v>
      </c>
      <c r="G22" s="250">
        <f t="shared" si="0"/>
        <v>-44.6</v>
      </c>
      <c r="H22" s="251">
        <f t="shared" si="1"/>
        <v>-16777.628</v>
      </c>
      <c r="I22" s="246">
        <v>376.18</v>
      </c>
      <c r="J22" s="248">
        <v>44.6</v>
      </c>
      <c r="K22" s="249">
        <v>0</v>
      </c>
      <c r="L22" s="250">
        <f t="shared" si="6"/>
        <v>-44.6</v>
      </c>
      <c r="M22" s="251">
        <f t="shared" si="7"/>
        <v>-16777.628</v>
      </c>
      <c r="N22" s="261">
        <f t="shared" si="8"/>
        <v>0</v>
      </c>
      <c r="O22" s="262">
        <f t="shared" si="9"/>
        <v>0</v>
      </c>
      <c r="P22" s="263"/>
    </row>
    <row r="23" spans="1:16" s="38" customFormat="1" ht="27.75" customHeight="1">
      <c r="A23" s="246" t="s">
        <v>62</v>
      </c>
      <c r="B23" s="247" t="s">
        <v>63</v>
      </c>
      <c r="C23" s="246" t="s">
        <v>30</v>
      </c>
      <c r="D23" s="246">
        <v>114.76</v>
      </c>
      <c r="E23" s="248">
        <f>'清单表'!F22</f>
        <v>28.83</v>
      </c>
      <c r="F23" s="249">
        <v>0</v>
      </c>
      <c r="G23" s="250">
        <f t="shared" si="0"/>
        <v>-28.83</v>
      </c>
      <c r="H23" s="251">
        <f t="shared" si="1"/>
        <v>-3308.5308</v>
      </c>
      <c r="I23" s="246">
        <v>114.76</v>
      </c>
      <c r="J23" s="248">
        <v>28.83</v>
      </c>
      <c r="K23" s="249">
        <v>0</v>
      </c>
      <c r="L23" s="250">
        <f t="shared" si="6"/>
        <v>-28.83</v>
      </c>
      <c r="M23" s="251">
        <f t="shared" si="7"/>
        <v>-3308.5308</v>
      </c>
      <c r="N23" s="261">
        <f t="shared" si="8"/>
        <v>0</v>
      </c>
      <c r="O23" s="262">
        <f t="shared" si="9"/>
        <v>0</v>
      </c>
      <c r="P23" s="263"/>
    </row>
    <row r="24" spans="1:16" s="38" customFormat="1" ht="27.75" customHeight="1">
      <c r="A24" s="246" t="s">
        <v>64</v>
      </c>
      <c r="B24" s="247" t="s">
        <v>65</v>
      </c>
      <c r="C24" s="246" t="s">
        <v>27</v>
      </c>
      <c r="D24" s="246">
        <v>49.68</v>
      </c>
      <c r="E24" s="248">
        <f>'清单表'!F23</f>
        <v>10298</v>
      </c>
      <c r="F24" s="249">
        <v>0</v>
      </c>
      <c r="G24" s="250">
        <f t="shared" si="0"/>
        <v>-10298</v>
      </c>
      <c r="H24" s="251">
        <f t="shared" si="1"/>
        <v>-511604.64</v>
      </c>
      <c r="I24" s="246">
        <v>49.68</v>
      </c>
      <c r="J24" s="248">
        <v>10298</v>
      </c>
      <c r="K24" s="249">
        <v>0</v>
      </c>
      <c r="L24" s="250">
        <f t="shared" si="6"/>
        <v>-10298</v>
      </c>
      <c r="M24" s="251">
        <f t="shared" si="7"/>
        <v>-511604.64</v>
      </c>
      <c r="N24" s="261">
        <f t="shared" si="8"/>
        <v>0</v>
      </c>
      <c r="O24" s="262">
        <f t="shared" si="9"/>
        <v>0</v>
      </c>
      <c r="P24" s="263"/>
    </row>
    <row r="25" spans="1:16" s="38" customFormat="1" ht="27.75" customHeight="1">
      <c r="A25" s="246" t="s">
        <v>66</v>
      </c>
      <c r="B25" s="247" t="s">
        <v>67</v>
      </c>
      <c r="C25" s="246" t="s">
        <v>27</v>
      </c>
      <c r="D25" s="246">
        <v>9.21</v>
      </c>
      <c r="E25" s="248">
        <f>'清单表'!F24</f>
        <v>5454</v>
      </c>
      <c r="F25" s="249">
        <v>0</v>
      </c>
      <c r="G25" s="250">
        <f t="shared" si="0"/>
        <v>-5454</v>
      </c>
      <c r="H25" s="251">
        <f t="shared" si="1"/>
        <v>-50231.340000000004</v>
      </c>
      <c r="I25" s="246">
        <v>9.21</v>
      </c>
      <c r="J25" s="248">
        <v>5454</v>
      </c>
      <c r="K25" s="249">
        <v>0</v>
      </c>
      <c r="L25" s="250">
        <f t="shared" si="6"/>
        <v>-5454</v>
      </c>
      <c r="M25" s="251">
        <f t="shared" si="7"/>
        <v>-50231.340000000004</v>
      </c>
      <c r="N25" s="261">
        <f t="shared" si="8"/>
        <v>0</v>
      </c>
      <c r="O25" s="262">
        <f t="shared" si="9"/>
        <v>0</v>
      </c>
      <c r="P25" s="263"/>
    </row>
    <row r="26" spans="1:16" s="38" customFormat="1" ht="27.75" customHeight="1">
      <c r="A26" s="246" t="s">
        <v>68</v>
      </c>
      <c r="B26" s="247" t="s">
        <v>69</v>
      </c>
      <c r="C26" s="246" t="s">
        <v>27</v>
      </c>
      <c r="D26" s="246">
        <v>24.23</v>
      </c>
      <c r="E26" s="248">
        <f>'清单表'!F25</f>
        <v>5454</v>
      </c>
      <c r="F26" s="249">
        <v>0</v>
      </c>
      <c r="G26" s="250">
        <f t="shared" si="0"/>
        <v>-5454</v>
      </c>
      <c r="H26" s="251">
        <f t="shared" si="1"/>
        <v>-132150.42</v>
      </c>
      <c r="I26" s="246">
        <v>24.23</v>
      </c>
      <c r="J26" s="248">
        <v>5454</v>
      </c>
      <c r="K26" s="249">
        <v>0</v>
      </c>
      <c r="L26" s="250">
        <f t="shared" si="6"/>
        <v>-5454</v>
      </c>
      <c r="M26" s="251">
        <f t="shared" si="7"/>
        <v>-132150.42</v>
      </c>
      <c r="N26" s="261">
        <f t="shared" si="8"/>
        <v>0</v>
      </c>
      <c r="O26" s="262">
        <f t="shared" si="9"/>
        <v>0</v>
      </c>
      <c r="P26" s="263"/>
    </row>
    <row r="27" spans="1:16" s="38" customFormat="1" ht="27.75" customHeight="1">
      <c r="A27" s="246" t="s">
        <v>70</v>
      </c>
      <c r="B27" s="247" t="s">
        <v>71</v>
      </c>
      <c r="C27" s="246" t="s">
        <v>27</v>
      </c>
      <c r="D27" s="246">
        <v>32.31</v>
      </c>
      <c r="E27" s="248">
        <f>'清单表'!F26</f>
        <v>5494.4</v>
      </c>
      <c r="F27" s="249">
        <v>0</v>
      </c>
      <c r="G27" s="250">
        <f t="shared" si="0"/>
        <v>-5494.4</v>
      </c>
      <c r="H27" s="251">
        <f t="shared" si="1"/>
        <v>-177524.064</v>
      </c>
      <c r="I27" s="246">
        <v>32.31</v>
      </c>
      <c r="J27" s="248">
        <v>5494.4</v>
      </c>
      <c r="K27" s="249">
        <v>0</v>
      </c>
      <c r="L27" s="250">
        <f t="shared" si="6"/>
        <v>-5494.4</v>
      </c>
      <c r="M27" s="251">
        <f t="shared" si="7"/>
        <v>-177524.064</v>
      </c>
      <c r="N27" s="261">
        <f t="shared" si="8"/>
        <v>0</v>
      </c>
      <c r="O27" s="262">
        <f t="shared" si="9"/>
        <v>0</v>
      </c>
      <c r="P27" s="263"/>
    </row>
    <row r="28" spans="1:16" s="38" customFormat="1" ht="27.75" customHeight="1">
      <c r="A28" s="246" t="s">
        <v>72</v>
      </c>
      <c r="B28" s="247" t="s">
        <v>73</v>
      </c>
      <c r="C28" s="246" t="s">
        <v>27</v>
      </c>
      <c r="D28" s="246">
        <v>25.3</v>
      </c>
      <c r="E28" s="248">
        <f>'清单表'!F27</f>
        <v>853.9000000000001</v>
      </c>
      <c r="F28" s="249">
        <v>0</v>
      </c>
      <c r="G28" s="250">
        <f t="shared" si="0"/>
        <v>-853.9000000000001</v>
      </c>
      <c r="H28" s="251">
        <f t="shared" si="1"/>
        <v>-21603.670000000002</v>
      </c>
      <c r="I28" s="246">
        <v>25.3</v>
      </c>
      <c r="J28" s="248">
        <v>853.9</v>
      </c>
      <c r="K28" s="249">
        <v>0</v>
      </c>
      <c r="L28" s="250">
        <f t="shared" si="6"/>
        <v>-853.9</v>
      </c>
      <c r="M28" s="251">
        <f t="shared" si="7"/>
        <v>-21603.67</v>
      </c>
      <c r="N28" s="261">
        <f t="shared" si="8"/>
        <v>0</v>
      </c>
      <c r="O28" s="262">
        <f t="shared" si="9"/>
        <v>0</v>
      </c>
      <c r="P28" s="263"/>
    </row>
    <row r="29" spans="1:16" s="38" customFormat="1" ht="27.75" customHeight="1">
      <c r="A29" s="246" t="s">
        <v>74</v>
      </c>
      <c r="B29" s="247" t="s">
        <v>75</v>
      </c>
      <c r="C29" s="246" t="s">
        <v>27</v>
      </c>
      <c r="D29" s="246">
        <v>8.88</v>
      </c>
      <c r="E29" s="248">
        <f>'清单表'!F28</f>
        <v>10623.2</v>
      </c>
      <c r="F29" s="249">
        <v>0</v>
      </c>
      <c r="G29" s="250">
        <f aca="true" t="shared" si="10" ref="G29:G41">F29-E29</f>
        <v>-10623.2</v>
      </c>
      <c r="H29" s="251">
        <f aca="true" t="shared" si="11" ref="H29:H41">G29*D29</f>
        <v>-94334.01600000002</v>
      </c>
      <c r="I29" s="246">
        <v>8.88</v>
      </c>
      <c r="J29" s="248">
        <v>10623.2</v>
      </c>
      <c r="K29" s="249">
        <v>0</v>
      </c>
      <c r="L29" s="250">
        <f aca="true" t="shared" si="12" ref="L29:L37">K29-J29</f>
        <v>-10623.2</v>
      </c>
      <c r="M29" s="251">
        <f aca="true" t="shared" si="13" ref="M29:M37">L29*I29</f>
        <v>-94334.01600000002</v>
      </c>
      <c r="N29" s="261">
        <f aca="true" t="shared" si="14" ref="N29:N40">L29-G29</f>
        <v>0</v>
      </c>
      <c r="O29" s="262">
        <f aca="true" t="shared" si="15" ref="O29:O40">M29-H29</f>
        <v>0</v>
      </c>
      <c r="P29" s="263"/>
    </row>
    <row r="30" spans="1:16" s="38" customFormat="1" ht="36" customHeight="1">
      <c r="A30" s="246" t="s">
        <v>76</v>
      </c>
      <c r="B30" s="247" t="s">
        <v>77</v>
      </c>
      <c r="C30" s="252" t="s">
        <v>27</v>
      </c>
      <c r="D30" s="253">
        <v>87.26</v>
      </c>
      <c r="E30" s="248">
        <f>'清单表'!F29</f>
        <v>284.21999999999997</v>
      </c>
      <c r="F30" s="249">
        <v>0</v>
      </c>
      <c r="G30" s="250">
        <f t="shared" si="10"/>
        <v>-284.21999999999997</v>
      </c>
      <c r="H30" s="251">
        <f t="shared" si="11"/>
        <v>-24801.0372</v>
      </c>
      <c r="I30" s="253">
        <v>87.26</v>
      </c>
      <c r="J30" s="248">
        <v>284.22</v>
      </c>
      <c r="K30" s="249">
        <v>0</v>
      </c>
      <c r="L30" s="250">
        <f t="shared" si="12"/>
        <v>-284.22</v>
      </c>
      <c r="M30" s="251">
        <f t="shared" si="13"/>
        <v>-24801.037200000002</v>
      </c>
      <c r="N30" s="261">
        <f t="shared" si="14"/>
        <v>0</v>
      </c>
      <c r="O30" s="262">
        <f t="shared" si="15"/>
        <v>0</v>
      </c>
      <c r="P30" s="263"/>
    </row>
    <row r="31" spans="1:16" s="38" customFormat="1" ht="27.75" customHeight="1">
      <c r="A31" s="246" t="s">
        <v>78</v>
      </c>
      <c r="B31" s="247" t="s">
        <v>79</v>
      </c>
      <c r="C31" s="246" t="s">
        <v>27</v>
      </c>
      <c r="D31" s="246">
        <v>124.63</v>
      </c>
      <c r="E31" s="248">
        <f>'清单表'!F30</f>
        <v>9756</v>
      </c>
      <c r="F31" s="249">
        <v>0</v>
      </c>
      <c r="G31" s="250">
        <f t="shared" si="10"/>
        <v>-9756</v>
      </c>
      <c r="H31" s="251">
        <f t="shared" si="11"/>
        <v>-1215890.28</v>
      </c>
      <c r="I31" s="246">
        <v>124.63</v>
      </c>
      <c r="J31" s="248">
        <v>9756</v>
      </c>
      <c r="K31" s="249">
        <v>0</v>
      </c>
      <c r="L31" s="250">
        <f t="shared" si="12"/>
        <v>-9756</v>
      </c>
      <c r="M31" s="251">
        <f t="shared" si="13"/>
        <v>-1215890.28</v>
      </c>
      <c r="N31" s="261">
        <f t="shared" si="14"/>
        <v>0</v>
      </c>
      <c r="O31" s="262">
        <f t="shared" si="15"/>
        <v>0</v>
      </c>
      <c r="P31" s="263"/>
    </row>
    <row r="32" spans="1:16" s="38" customFormat="1" ht="27.75" customHeight="1">
      <c r="A32" s="249" t="s">
        <v>80</v>
      </c>
      <c r="B32" s="247" t="s">
        <v>81</v>
      </c>
      <c r="C32" s="252" t="s">
        <v>30</v>
      </c>
      <c r="D32" s="246">
        <v>498</v>
      </c>
      <c r="E32" s="248">
        <f>'清单表'!F31</f>
        <v>3.58</v>
      </c>
      <c r="F32" s="249">
        <v>0</v>
      </c>
      <c r="G32" s="250">
        <f t="shared" si="10"/>
        <v>-3.58</v>
      </c>
      <c r="H32" s="251">
        <f t="shared" si="11"/>
        <v>-1782.8400000000001</v>
      </c>
      <c r="I32" s="246">
        <v>498</v>
      </c>
      <c r="J32" s="248">
        <v>3.58</v>
      </c>
      <c r="K32" s="249">
        <v>0</v>
      </c>
      <c r="L32" s="250">
        <f t="shared" si="12"/>
        <v>-3.58</v>
      </c>
      <c r="M32" s="251">
        <f t="shared" si="13"/>
        <v>-1782.8400000000001</v>
      </c>
      <c r="N32" s="261">
        <f t="shared" si="14"/>
        <v>0</v>
      </c>
      <c r="O32" s="262">
        <f t="shared" si="15"/>
        <v>0</v>
      </c>
      <c r="P32" s="263"/>
    </row>
    <row r="33" spans="1:16" s="38" customFormat="1" ht="27.75" customHeight="1">
      <c r="A33" s="249" t="s">
        <v>82</v>
      </c>
      <c r="B33" s="247" t="s">
        <v>83</v>
      </c>
      <c r="C33" s="252" t="s">
        <v>84</v>
      </c>
      <c r="D33" s="246">
        <v>6.58</v>
      </c>
      <c r="E33" s="248">
        <f>'清单表'!F32</f>
        <v>1520.3679650772333</v>
      </c>
      <c r="F33" s="249">
        <v>0</v>
      </c>
      <c r="G33" s="250">
        <f t="shared" si="10"/>
        <v>-1520.3679650772333</v>
      </c>
      <c r="H33" s="251">
        <f t="shared" si="11"/>
        <v>-10004.021210208195</v>
      </c>
      <c r="I33" s="246">
        <v>6.58</v>
      </c>
      <c r="J33" s="248">
        <v>1520.37</v>
      </c>
      <c r="K33" s="249">
        <v>0</v>
      </c>
      <c r="L33" s="250">
        <f t="shared" si="12"/>
        <v>-1520.37</v>
      </c>
      <c r="M33" s="251">
        <f t="shared" si="13"/>
        <v>-10004.034599999999</v>
      </c>
      <c r="N33" s="261">
        <f t="shared" si="14"/>
        <v>-0.0020349227665974468</v>
      </c>
      <c r="O33" s="262">
        <f t="shared" si="15"/>
        <v>-0.013389791804002016</v>
      </c>
      <c r="P33" s="263"/>
    </row>
    <row r="34" spans="1:16" s="38" customFormat="1" ht="27.75" customHeight="1">
      <c r="A34" s="249" t="s">
        <v>85</v>
      </c>
      <c r="B34" s="247" t="s">
        <v>86</v>
      </c>
      <c r="C34" s="246" t="s">
        <v>84</v>
      </c>
      <c r="D34" s="246">
        <v>6.01</v>
      </c>
      <c r="E34" s="248">
        <f>'清单表'!F33</f>
        <v>5073.498455339154</v>
      </c>
      <c r="F34" s="249">
        <v>0</v>
      </c>
      <c r="G34" s="250">
        <f t="shared" si="10"/>
        <v>-5073.498455339154</v>
      </c>
      <c r="H34" s="251">
        <f t="shared" si="11"/>
        <v>-30491.725716588317</v>
      </c>
      <c r="I34" s="246">
        <v>6.01</v>
      </c>
      <c r="J34" s="248">
        <v>5073.5</v>
      </c>
      <c r="K34" s="249">
        <v>0</v>
      </c>
      <c r="L34" s="250">
        <f t="shared" si="12"/>
        <v>-5073.5</v>
      </c>
      <c r="M34" s="251">
        <f t="shared" si="13"/>
        <v>-30491.735</v>
      </c>
      <c r="N34" s="261">
        <f t="shared" si="14"/>
        <v>-0.0015446608458660194</v>
      </c>
      <c r="O34" s="262">
        <f t="shared" si="15"/>
        <v>-0.00928341168400948</v>
      </c>
      <c r="P34" s="263"/>
    </row>
    <row r="35" spans="1:16" s="38" customFormat="1" ht="27.75" customHeight="1">
      <c r="A35" s="249" t="s">
        <v>87</v>
      </c>
      <c r="B35" s="247" t="s">
        <v>88</v>
      </c>
      <c r="C35" s="246" t="s">
        <v>30</v>
      </c>
      <c r="D35" s="246">
        <v>26.18</v>
      </c>
      <c r="E35" s="248">
        <f>'清单表'!F34</f>
        <v>54.2</v>
      </c>
      <c r="F35" s="249">
        <v>0</v>
      </c>
      <c r="G35" s="250">
        <f t="shared" si="10"/>
        <v>-54.2</v>
      </c>
      <c r="H35" s="251">
        <f t="shared" si="11"/>
        <v>-1418.9560000000001</v>
      </c>
      <c r="I35" s="246">
        <v>26.18</v>
      </c>
      <c r="J35" s="248">
        <v>54.2</v>
      </c>
      <c r="K35" s="249">
        <v>0</v>
      </c>
      <c r="L35" s="250">
        <f t="shared" si="12"/>
        <v>-54.2</v>
      </c>
      <c r="M35" s="251">
        <f t="shared" si="13"/>
        <v>-1418.9560000000001</v>
      </c>
      <c r="N35" s="261">
        <f t="shared" si="14"/>
        <v>0</v>
      </c>
      <c r="O35" s="262">
        <f t="shared" si="15"/>
        <v>0</v>
      </c>
      <c r="P35" s="263"/>
    </row>
    <row r="36" spans="1:16" s="38" customFormat="1" ht="33" customHeight="1">
      <c r="A36" s="254" t="s">
        <v>89</v>
      </c>
      <c r="B36" s="255" t="s">
        <v>90</v>
      </c>
      <c r="C36" s="246" t="s">
        <v>27</v>
      </c>
      <c r="D36" s="254">
        <v>81.78</v>
      </c>
      <c r="E36" s="248">
        <f>'清单表'!F35</f>
        <v>1084</v>
      </c>
      <c r="F36" s="249">
        <v>0</v>
      </c>
      <c r="G36" s="250">
        <f t="shared" si="10"/>
        <v>-1084</v>
      </c>
      <c r="H36" s="251">
        <f t="shared" si="11"/>
        <v>-88649.52</v>
      </c>
      <c r="I36" s="254">
        <v>81.78</v>
      </c>
      <c r="J36" s="248">
        <v>1084</v>
      </c>
      <c r="K36" s="249">
        <v>0</v>
      </c>
      <c r="L36" s="250">
        <f t="shared" si="12"/>
        <v>-1084</v>
      </c>
      <c r="M36" s="251">
        <f t="shared" si="13"/>
        <v>-88649.52</v>
      </c>
      <c r="N36" s="261">
        <f t="shared" si="14"/>
        <v>0</v>
      </c>
      <c r="O36" s="262">
        <f t="shared" si="15"/>
        <v>0</v>
      </c>
      <c r="P36" s="263"/>
    </row>
    <row r="37" spans="1:16" s="38" customFormat="1" ht="31.5" customHeight="1">
      <c r="A37" s="254" t="s">
        <v>91</v>
      </c>
      <c r="B37" s="256" t="s">
        <v>92</v>
      </c>
      <c r="C37" s="246" t="s">
        <v>84</v>
      </c>
      <c r="D37" s="254">
        <v>6.31</v>
      </c>
      <c r="E37" s="248">
        <f>'清单表'!F36</f>
        <v>3330.2</v>
      </c>
      <c r="F37" s="249">
        <v>0</v>
      </c>
      <c r="G37" s="250">
        <f t="shared" si="10"/>
        <v>-3330.2</v>
      </c>
      <c r="H37" s="251">
        <f t="shared" si="11"/>
        <v>-21013.561999999998</v>
      </c>
      <c r="I37" s="254">
        <v>6.31</v>
      </c>
      <c r="J37" s="248">
        <v>3330.2</v>
      </c>
      <c r="K37" s="249">
        <v>0</v>
      </c>
      <c r="L37" s="250">
        <f t="shared" si="12"/>
        <v>-3330.2</v>
      </c>
      <c r="M37" s="251">
        <f t="shared" si="13"/>
        <v>-21013.561999999998</v>
      </c>
      <c r="N37" s="261">
        <f t="shared" si="14"/>
        <v>0</v>
      </c>
      <c r="O37" s="262">
        <f t="shared" si="15"/>
        <v>0</v>
      </c>
      <c r="P37" s="263"/>
    </row>
    <row r="38" spans="1:16" s="38" customFormat="1" ht="31.5" customHeight="1">
      <c r="A38" s="254" t="s">
        <v>93</v>
      </c>
      <c r="B38" s="256" t="s">
        <v>94</v>
      </c>
      <c r="C38" s="246" t="s">
        <v>84</v>
      </c>
      <c r="D38" s="254">
        <v>6.1</v>
      </c>
      <c r="E38" s="248">
        <f>'清单表'!F37</f>
        <v>31758.199999999997</v>
      </c>
      <c r="F38" s="249">
        <v>0</v>
      </c>
      <c r="G38" s="250">
        <f t="shared" si="10"/>
        <v>-31758.199999999997</v>
      </c>
      <c r="H38" s="251">
        <f t="shared" si="11"/>
        <v>-193725.01999999996</v>
      </c>
      <c r="I38" s="254">
        <v>6.1</v>
      </c>
      <c r="J38" s="248">
        <v>31758.2</v>
      </c>
      <c r="K38" s="249">
        <v>0</v>
      </c>
      <c r="L38" s="250">
        <f aca="true" t="shared" si="16" ref="L38:L44">K38-J38</f>
        <v>-31758.2</v>
      </c>
      <c r="M38" s="251">
        <f aca="true" t="shared" si="17" ref="M38:M44">L38*I38</f>
        <v>-193725.02</v>
      </c>
      <c r="N38" s="261">
        <f t="shared" si="14"/>
        <v>0</v>
      </c>
      <c r="O38" s="262">
        <f t="shared" si="15"/>
        <v>0</v>
      </c>
      <c r="P38" s="263"/>
    </row>
    <row r="39" spans="1:16" s="38" customFormat="1" ht="31.5" customHeight="1">
      <c r="A39" s="254" t="s">
        <v>95</v>
      </c>
      <c r="B39" s="256" t="s">
        <v>96</v>
      </c>
      <c r="C39" s="246" t="s">
        <v>84</v>
      </c>
      <c r="D39" s="254">
        <v>6.48</v>
      </c>
      <c r="E39" s="248">
        <f>'清单表'!F38</f>
        <v>1099.0000000000002</v>
      </c>
      <c r="F39" s="249">
        <v>0</v>
      </c>
      <c r="G39" s="250">
        <f t="shared" si="10"/>
        <v>-1099.0000000000002</v>
      </c>
      <c r="H39" s="251">
        <f t="shared" si="11"/>
        <v>-7121.520000000002</v>
      </c>
      <c r="I39" s="254">
        <v>6.48</v>
      </c>
      <c r="J39" s="248">
        <v>1099</v>
      </c>
      <c r="K39" s="249">
        <v>0</v>
      </c>
      <c r="L39" s="250">
        <f t="shared" si="16"/>
        <v>-1099</v>
      </c>
      <c r="M39" s="251">
        <f t="shared" si="17"/>
        <v>-7121.52</v>
      </c>
      <c r="N39" s="261">
        <f t="shared" si="14"/>
        <v>0</v>
      </c>
      <c r="O39" s="262">
        <f t="shared" si="15"/>
        <v>0</v>
      </c>
      <c r="P39" s="263"/>
    </row>
    <row r="40" spans="1:16" s="38" customFormat="1" ht="36.75" customHeight="1">
      <c r="A40" s="254" t="s">
        <v>97</v>
      </c>
      <c r="B40" s="256" t="s">
        <v>98</v>
      </c>
      <c r="C40" s="246" t="s">
        <v>84</v>
      </c>
      <c r="D40" s="254">
        <v>6.27</v>
      </c>
      <c r="E40" s="248">
        <f>'清单表'!F39</f>
        <v>13800</v>
      </c>
      <c r="F40" s="249">
        <v>0</v>
      </c>
      <c r="G40" s="250">
        <f t="shared" si="10"/>
        <v>-13800</v>
      </c>
      <c r="H40" s="251">
        <f t="shared" si="11"/>
        <v>-86526</v>
      </c>
      <c r="I40" s="254">
        <v>6.27</v>
      </c>
      <c r="J40" s="248">
        <v>13800</v>
      </c>
      <c r="K40" s="249">
        <v>0</v>
      </c>
      <c r="L40" s="250">
        <f t="shared" si="16"/>
        <v>-13800</v>
      </c>
      <c r="M40" s="251">
        <f t="shared" si="17"/>
        <v>-86526</v>
      </c>
      <c r="N40" s="261">
        <f t="shared" si="14"/>
        <v>0</v>
      </c>
      <c r="O40" s="262">
        <f t="shared" si="15"/>
        <v>0</v>
      </c>
      <c r="P40" s="263"/>
    </row>
    <row r="41" spans="1:16" s="38" customFormat="1" ht="31.5" customHeight="1">
      <c r="A41" s="254" t="s">
        <v>99</v>
      </c>
      <c r="B41" s="256" t="s">
        <v>100</v>
      </c>
      <c r="C41" s="246" t="s">
        <v>84</v>
      </c>
      <c r="D41" s="254">
        <v>6.41</v>
      </c>
      <c r="E41" s="248">
        <f>'清单表'!F40</f>
        <v>4324</v>
      </c>
      <c r="F41" s="249">
        <v>0</v>
      </c>
      <c r="G41" s="250">
        <f t="shared" si="10"/>
        <v>-4324</v>
      </c>
      <c r="H41" s="251">
        <f t="shared" si="11"/>
        <v>-27716.84</v>
      </c>
      <c r="I41" s="254">
        <v>6.41</v>
      </c>
      <c r="J41" s="248">
        <v>4324</v>
      </c>
      <c r="K41" s="249">
        <v>0</v>
      </c>
      <c r="L41" s="250">
        <f t="shared" si="16"/>
        <v>-4324</v>
      </c>
      <c r="M41" s="251">
        <f t="shared" si="17"/>
        <v>-27716.84</v>
      </c>
      <c r="N41" s="261">
        <f aca="true" t="shared" si="18" ref="N41:N48">L41-G41</f>
        <v>0</v>
      </c>
      <c r="O41" s="262">
        <f aca="true" t="shared" si="19" ref="O41:O48">M41-H41</f>
        <v>0</v>
      </c>
      <c r="P41" s="263"/>
    </row>
    <row r="42" spans="1:16" s="38" customFormat="1" ht="39" customHeight="1">
      <c r="A42" s="254" t="s">
        <v>101</v>
      </c>
      <c r="B42" s="256" t="s">
        <v>102</v>
      </c>
      <c r="C42" s="246" t="s">
        <v>84</v>
      </c>
      <c r="D42" s="254">
        <v>6.25</v>
      </c>
      <c r="E42" s="248">
        <f>'清单表'!F41</f>
        <v>20776</v>
      </c>
      <c r="F42" s="249">
        <v>0</v>
      </c>
      <c r="G42" s="250">
        <f aca="true" t="shared" si="20" ref="G42:G51">F42-E42</f>
        <v>-20776</v>
      </c>
      <c r="H42" s="251">
        <f aca="true" t="shared" si="21" ref="H42:H51">G42*D42</f>
        <v>-129850</v>
      </c>
      <c r="I42" s="254">
        <v>6.25</v>
      </c>
      <c r="J42" s="248">
        <v>20776</v>
      </c>
      <c r="K42" s="249">
        <v>0</v>
      </c>
      <c r="L42" s="250">
        <f t="shared" si="16"/>
        <v>-20776</v>
      </c>
      <c r="M42" s="251">
        <f t="shared" si="17"/>
        <v>-129850</v>
      </c>
      <c r="N42" s="261">
        <f t="shared" si="18"/>
        <v>0</v>
      </c>
      <c r="O42" s="262">
        <f t="shared" si="19"/>
        <v>0</v>
      </c>
      <c r="P42" s="263"/>
    </row>
    <row r="43" spans="1:16" s="38" customFormat="1" ht="39" customHeight="1">
      <c r="A43" s="254" t="s">
        <v>103</v>
      </c>
      <c r="B43" s="256" t="s">
        <v>104</v>
      </c>
      <c r="C43" s="246" t="s">
        <v>84</v>
      </c>
      <c r="D43" s="254">
        <v>6.45</v>
      </c>
      <c r="E43" s="248">
        <f>'清单表'!F42</f>
        <v>2694.7812000000004</v>
      </c>
      <c r="F43" s="249">
        <v>0</v>
      </c>
      <c r="G43" s="250">
        <f t="shared" si="20"/>
        <v>-2694.7812000000004</v>
      </c>
      <c r="H43" s="251">
        <f t="shared" si="21"/>
        <v>-17381.338740000003</v>
      </c>
      <c r="I43" s="254">
        <v>6.45</v>
      </c>
      <c r="J43" s="248">
        <v>2694.78</v>
      </c>
      <c r="K43" s="249">
        <v>0</v>
      </c>
      <c r="L43" s="250">
        <f t="shared" si="16"/>
        <v>-2694.78</v>
      </c>
      <c r="M43" s="251">
        <f t="shared" si="17"/>
        <v>-17381.331000000002</v>
      </c>
      <c r="N43" s="261">
        <f t="shared" si="18"/>
        <v>0.0012000000001535227</v>
      </c>
      <c r="O43" s="262">
        <f t="shared" si="19"/>
        <v>0.007740000000922009</v>
      </c>
      <c r="P43" s="263"/>
    </row>
    <row r="44" spans="1:16" s="38" customFormat="1" ht="40.5" customHeight="1">
      <c r="A44" s="254" t="s">
        <v>105</v>
      </c>
      <c r="B44" s="256" t="s">
        <v>106</v>
      </c>
      <c r="C44" s="246" t="s">
        <v>84</v>
      </c>
      <c r="D44" s="254">
        <v>6.26</v>
      </c>
      <c r="E44" s="248">
        <f>'清单表'!F43</f>
        <v>14217.0896</v>
      </c>
      <c r="F44" s="249">
        <v>0</v>
      </c>
      <c r="G44" s="250">
        <f t="shared" si="20"/>
        <v>-14217.0896</v>
      </c>
      <c r="H44" s="251">
        <f t="shared" si="21"/>
        <v>-88998.980896</v>
      </c>
      <c r="I44" s="254">
        <v>6.26</v>
      </c>
      <c r="J44" s="248">
        <v>14217.09</v>
      </c>
      <c r="K44" s="249">
        <v>0</v>
      </c>
      <c r="L44" s="250">
        <f t="shared" si="16"/>
        <v>-14217.09</v>
      </c>
      <c r="M44" s="251">
        <f t="shared" si="17"/>
        <v>-88998.9834</v>
      </c>
      <c r="N44" s="261">
        <f t="shared" si="18"/>
        <v>-0.0004000000008090865</v>
      </c>
      <c r="O44" s="262">
        <f t="shared" si="19"/>
        <v>-0.0025040000036824495</v>
      </c>
      <c r="P44" s="263"/>
    </row>
    <row r="45" spans="1:16" s="38" customFormat="1" ht="27.75" customHeight="1">
      <c r="A45" s="254" t="s">
        <v>107</v>
      </c>
      <c r="B45" s="256" t="s">
        <v>108</v>
      </c>
      <c r="C45" s="246" t="s">
        <v>30</v>
      </c>
      <c r="D45" s="254">
        <v>24.08</v>
      </c>
      <c r="E45" s="248">
        <f>'清单表'!F44</f>
        <v>1765</v>
      </c>
      <c r="F45" s="249">
        <v>0</v>
      </c>
      <c r="G45" s="250">
        <f t="shared" si="20"/>
        <v>-1765</v>
      </c>
      <c r="H45" s="251">
        <f t="shared" si="21"/>
        <v>-42501.2</v>
      </c>
      <c r="I45" s="254">
        <v>24.08</v>
      </c>
      <c r="J45" s="248">
        <v>1765</v>
      </c>
      <c r="K45" s="249">
        <v>0</v>
      </c>
      <c r="L45" s="250">
        <f aca="true" t="shared" si="22" ref="L45:L53">K45-J45</f>
        <v>-1765</v>
      </c>
      <c r="M45" s="251">
        <f aca="true" t="shared" si="23" ref="M45:M53">L45*I45</f>
        <v>-42501.2</v>
      </c>
      <c r="N45" s="261">
        <f t="shared" si="18"/>
        <v>0</v>
      </c>
      <c r="O45" s="262">
        <f t="shared" si="19"/>
        <v>0</v>
      </c>
      <c r="P45" s="263"/>
    </row>
    <row r="46" spans="1:16" s="38" customFormat="1" ht="27.75" customHeight="1">
      <c r="A46" s="254" t="s">
        <v>109</v>
      </c>
      <c r="B46" s="256" t="s">
        <v>110</v>
      </c>
      <c r="C46" s="246" t="s">
        <v>111</v>
      </c>
      <c r="D46" s="254">
        <v>1854.48</v>
      </c>
      <c r="E46" s="248">
        <f>'清单表'!F45</f>
        <v>160</v>
      </c>
      <c r="F46" s="249">
        <v>0</v>
      </c>
      <c r="G46" s="250">
        <f t="shared" si="20"/>
        <v>-160</v>
      </c>
      <c r="H46" s="251">
        <f t="shared" si="21"/>
        <v>-296716.8</v>
      </c>
      <c r="I46" s="254">
        <v>1854.48</v>
      </c>
      <c r="J46" s="248">
        <v>160</v>
      </c>
      <c r="K46" s="249">
        <v>0</v>
      </c>
      <c r="L46" s="250">
        <f t="shared" si="22"/>
        <v>-160</v>
      </c>
      <c r="M46" s="251">
        <f t="shared" si="23"/>
        <v>-296716.8</v>
      </c>
      <c r="N46" s="261">
        <f t="shared" si="18"/>
        <v>0</v>
      </c>
      <c r="O46" s="262">
        <f t="shared" si="19"/>
        <v>0</v>
      </c>
      <c r="P46" s="263"/>
    </row>
    <row r="47" spans="1:16" s="38" customFormat="1" ht="27.75" customHeight="1">
      <c r="A47" s="254" t="s">
        <v>112</v>
      </c>
      <c r="B47" s="257" t="s">
        <v>113</v>
      </c>
      <c r="C47" s="246" t="s">
        <v>30</v>
      </c>
      <c r="D47" s="254">
        <v>529.1</v>
      </c>
      <c r="E47" s="248">
        <f>'清单表'!F46</f>
        <v>270.4</v>
      </c>
      <c r="F47" s="249">
        <v>0</v>
      </c>
      <c r="G47" s="250">
        <f t="shared" si="20"/>
        <v>-270.4</v>
      </c>
      <c r="H47" s="251">
        <f t="shared" si="21"/>
        <v>-143068.63999999998</v>
      </c>
      <c r="I47" s="254">
        <v>529.1</v>
      </c>
      <c r="J47" s="248">
        <v>270.4</v>
      </c>
      <c r="K47" s="249">
        <v>0</v>
      </c>
      <c r="L47" s="250">
        <f t="shared" si="22"/>
        <v>-270.4</v>
      </c>
      <c r="M47" s="251">
        <f t="shared" si="23"/>
        <v>-143068.63999999998</v>
      </c>
      <c r="N47" s="261">
        <f t="shared" si="18"/>
        <v>0</v>
      </c>
      <c r="O47" s="262">
        <f t="shared" si="19"/>
        <v>0</v>
      </c>
      <c r="P47" s="263"/>
    </row>
    <row r="48" spans="1:16" s="38" customFormat="1" ht="27.75" customHeight="1">
      <c r="A48" s="254" t="s">
        <v>114</v>
      </c>
      <c r="B48" s="257" t="s">
        <v>115</v>
      </c>
      <c r="C48" s="246" t="s">
        <v>30</v>
      </c>
      <c r="D48" s="254">
        <v>779.85</v>
      </c>
      <c r="E48" s="248">
        <f>'清单表'!F47</f>
        <v>88.88</v>
      </c>
      <c r="F48" s="249">
        <v>0</v>
      </c>
      <c r="G48" s="250">
        <f t="shared" si="20"/>
        <v>-88.88</v>
      </c>
      <c r="H48" s="251">
        <f t="shared" si="21"/>
        <v>-69313.068</v>
      </c>
      <c r="I48" s="254">
        <v>779.85</v>
      </c>
      <c r="J48" s="248">
        <v>88.88</v>
      </c>
      <c r="K48" s="249">
        <v>0</v>
      </c>
      <c r="L48" s="250">
        <f t="shared" si="22"/>
        <v>-88.88</v>
      </c>
      <c r="M48" s="251">
        <f t="shared" si="23"/>
        <v>-69313.068</v>
      </c>
      <c r="N48" s="261">
        <f t="shared" si="18"/>
        <v>0</v>
      </c>
      <c r="O48" s="262">
        <f t="shared" si="19"/>
        <v>0</v>
      </c>
      <c r="P48" s="263"/>
    </row>
    <row r="49" spans="1:16" s="38" customFormat="1" ht="27.75" customHeight="1">
      <c r="A49" s="254" t="s">
        <v>116</v>
      </c>
      <c r="B49" s="257" t="s">
        <v>117</v>
      </c>
      <c r="C49" s="246" t="s">
        <v>30</v>
      </c>
      <c r="D49" s="254">
        <v>848.08</v>
      </c>
      <c r="E49" s="248">
        <f>'清单表'!F48</f>
        <v>21.98</v>
      </c>
      <c r="F49" s="249">
        <v>0</v>
      </c>
      <c r="G49" s="250">
        <f t="shared" si="20"/>
        <v>-21.98</v>
      </c>
      <c r="H49" s="251">
        <f t="shared" si="21"/>
        <v>-18640.7984</v>
      </c>
      <c r="I49" s="254">
        <v>848.08</v>
      </c>
      <c r="J49" s="248">
        <v>21.98</v>
      </c>
      <c r="K49" s="249">
        <v>0</v>
      </c>
      <c r="L49" s="250">
        <f t="shared" si="22"/>
        <v>-21.98</v>
      </c>
      <c r="M49" s="251">
        <f t="shared" si="23"/>
        <v>-18640.7984</v>
      </c>
      <c r="N49" s="261">
        <f aca="true" t="shared" si="24" ref="N49:N60">L49-G49</f>
        <v>0</v>
      </c>
      <c r="O49" s="262">
        <f aca="true" t="shared" si="25" ref="O49:O60">M49-H49</f>
        <v>0</v>
      </c>
      <c r="P49" s="263"/>
    </row>
    <row r="50" spans="1:16" s="38" customFormat="1" ht="27.75" customHeight="1">
      <c r="A50" s="254" t="s">
        <v>118</v>
      </c>
      <c r="B50" s="257" t="s">
        <v>119</v>
      </c>
      <c r="C50" s="246" t="s">
        <v>30</v>
      </c>
      <c r="D50" s="254">
        <v>920.57</v>
      </c>
      <c r="E50" s="248">
        <f>'清单表'!F49</f>
        <v>18.96</v>
      </c>
      <c r="F50" s="249">
        <v>0</v>
      </c>
      <c r="G50" s="250">
        <f t="shared" si="20"/>
        <v>-18.96</v>
      </c>
      <c r="H50" s="251">
        <f t="shared" si="21"/>
        <v>-17454.0072</v>
      </c>
      <c r="I50" s="254">
        <v>920.57</v>
      </c>
      <c r="J50" s="248">
        <v>18.96</v>
      </c>
      <c r="K50" s="249">
        <v>0</v>
      </c>
      <c r="L50" s="250">
        <f t="shared" si="22"/>
        <v>-18.96</v>
      </c>
      <c r="M50" s="251">
        <f t="shared" si="23"/>
        <v>-17454.0072</v>
      </c>
      <c r="N50" s="261">
        <f t="shared" si="24"/>
        <v>0</v>
      </c>
      <c r="O50" s="262">
        <f t="shared" si="25"/>
        <v>0</v>
      </c>
      <c r="P50" s="263"/>
    </row>
    <row r="51" spans="1:16" s="38" customFormat="1" ht="27.75" customHeight="1">
      <c r="A51" s="254" t="s">
        <v>120</v>
      </c>
      <c r="B51" s="257" t="s">
        <v>121</v>
      </c>
      <c r="C51" s="246" t="s">
        <v>30</v>
      </c>
      <c r="D51" s="254">
        <v>622.69</v>
      </c>
      <c r="E51" s="248">
        <f>'清单表'!F50</f>
        <v>61.6</v>
      </c>
      <c r="F51" s="249">
        <v>0</v>
      </c>
      <c r="G51" s="250">
        <f t="shared" si="20"/>
        <v>-61.6</v>
      </c>
      <c r="H51" s="251">
        <f t="shared" si="21"/>
        <v>-38357.704000000005</v>
      </c>
      <c r="I51" s="254">
        <v>622.69</v>
      </c>
      <c r="J51" s="248">
        <v>61.6</v>
      </c>
      <c r="K51" s="249">
        <v>0</v>
      </c>
      <c r="L51" s="250">
        <f t="shared" si="22"/>
        <v>-61.6</v>
      </c>
      <c r="M51" s="251">
        <f t="shared" si="23"/>
        <v>-38357.704000000005</v>
      </c>
      <c r="N51" s="261">
        <f t="shared" si="24"/>
        <v>0</v>
      </c>
      <c r="O51" s="262">
        <f t="shared" si="25"/>
        <v>0</v>
      </c>
      <c r="P51" s="263"/>
    </row>
    <row r="52" spans="1:16" s="38" customFormat="1" ht="27.75" customHeight="1">
      <c r="A52" s="254" t="s">
        <v>122</v>
      </c>
      <c r="B52" s="257" t="s">
        <v>123</v>
      </c>
      <c r="C52" s="246" t="s">
        <v>30</v>
      </c>
      <c r="D52" s="254">
        <v>888.08</v>
      </c>
      <c r="E52" s="248">
        <f>'清单表'!F51</f>
        <v>16.67664</v>
      </c>
      <c r="F52" s="249">
        <v>0</v>
      </c>
      <c r="G52" s="250">
        <f aca="true" t="shared" si="26" ref="G52:G61">F52-E52</f>
        <v>-16.67664</v>
      </c>
      <c r="H52" s="251">
        <f aca="true" t="shared" si="27" ref="H52:H61">G52*D52</f>
        <v>-14810.1904512</v>
      </c>
      <c r="I52" s="254">
        <v>888.08</v>
      </c>
      <c r="J52" s="248">
        <v>16.68</v>
      </c>
      <c r="K52" s="249">
        <v>0</v>
      </c>
      <c r="L52" s="250">
        <f t="shared" si="22"/>
        <v>-16.68</v>
      </c>
      <c r="M52" s="251">
        <f t="shared" si="23"/>
        <v>-14813.1744</v>
      </c>
      <c r="N52" s="261">
        <f t="shared" si="24"/>
        <v>-0.0033600000000006958</v>
      </c>
      <c r="O52" s="262">
        <f t="shared" si="25"/>
        <v>-2.98394879999978</v>
      </c>
      <c r="P52" s="263"/>
    </row>
    <row r="53" spans="1:16" s="38" customFormat="1" ht="27.75" customHeight="1">
      <c r="A53" s="254" t="s">
        <v>124</v>
      </c>
      <c r="B53" s="257" t="s">
        <v>125</v>
      </c>
      <c r="C53" s="246" t="s">
        <v>30</v>
      </c>
      <c r="D53" s="254">
        <v>786.73</v>
      </c>
      <c r="E53" s="248">
        <f>'清单表'!F52</f>
        <v>0.836</v>
      </c>
      <c r="F53" s="249">
        <v>0</v>
      </c>
      <c r="G53" s="250">
        <f t="shared" si="26"/>
        <v>-0.836</v>
      </c>
      <c r="H53" s="251">
        <f t="shared" si="27"/>
        <v>-657.70628</v>
      </c>
      <c r="I53" s="254">
        <v>786.73</v>
      </c>
      <c r="J53" s="248">
        <v>0.84</v>
      </c>
      <c r="K53" s="249">
        <v>0</v>
      </c>
      <c r="L53" s="250">
        <f t="shared" si="22"/>
        <v>-0.84</v>
      </c>
      <c r="M53" s="251">
        <f t="shared" si="23"/>
        <v>-660.8532</v>
      </c>
      <c r="N53" s="261">
        <f t="shared" si="24"/>
        <v>-0.0040000000000000036</v>
      </c>
      <c r="O53" s="262">
        <f t="shared" si="25"/>
        <v>-3.146920000000023</v>
      </c>
      <c r="P53" s="263"/>
    </row>
    <row r="54" spans="1:16" s="38" customFormat="1" ht="27.75" customHeight="1">
      <c r="A54" s="254" t="s">
        <v>126</v>
      </c>
      <c r="B54" s="256" t="s">
        <v>127</v>
      </c>
      <c r="C54" s="246" t="s">
        <v>84</v>
      </c>
      <c r="D54" s="254">
        <v>13.81</v>
      </c>
      <c r="E54" s="248">
        <f>'清单表'!F53</f>
        <v>3809</v>
      </c>
      <c r="F54" s="249">
        <v>0</v>
      </c>
      <c r="G54" s="250">
        <f t="shared" si="26"/>
        <v>-3809</v>
      </c>
      <c r="H54" s="251">
        <f t="shared" si="27"/>
        <v>-52602.29</v>
      </c>
      <c r="I54" s="254">
        <v>13.81</v>
      </c>
      <c r="J54" s="248">
        <v>3809</v>
      </c>
      <c r="K54" s="249">
        <v>0</v>
      </c>
      <c r="L54" s="250">
        <f aca="true" t="shared" si="28" ref="L54:L61">K54-J54</f>
        <v>-3809</v>
      </c>
      <c r="M54" s="251">
        <f aca="true" t="shared" si="29" ref="M54:M61">L54*I54</f>
        <v>-52602.29</v>
      </c>
      <c r="N54" s="261">
        <f t="shared" si="24"/>
        <v>0</v>
      </c>
      <c r="O54" s="262">
        <f t="shared" si="25"/>
        <v>0</v>
      </c>
      <c r="P54" s="263"/>
    </row>
    <row r="55" spans="1:16" s="38" customFormat="1" ht="27.75" customHeight="1">
      <c r="A55" s="254" t="s">
        <v>128</v>
      </c>
      <c r="B55" s="257" t="s">
        <v>129</v>
      </c>
      <c r="C55" s="246" t="s">
        <v>30</v>
      </c>
      <c r="D55" s="254">
        <v>850.04</v>
      </c>
      <c r="E55" s="248">
        <f>'清单表'!F54</f>
        <v>3.8</v>
      </c>
      <c r="F55" s="249">
        <v>0</v>
      </c>
      <c r="G55" s="250">
        <f t="shared" si="26"/>
        <v>-3.8</v>
      </c>
      <c r="H55" s="251">
        <f t="shared" si="27"/>
        <v>-3230.1519999999996</v>
      </c>
      <c r="I55" s="254">
        <v>850.04</v>
      </c>
      <c r="J55" s="248">
        <v>3.8</v>
      </c>
      <c r="K55" s="249">
        <v>0</v>
      </c>
      <c r="L55" s="250">
        <f t="shared" si="28"/>
        <v>-3.8</v>
      </c>
      <c r="M55" s="251">
        <f t="shared" si="29"/>
        <v>-3230.1519999999996</v>
      </c>
      <c r="N55" s="261">
        <f t="shared" si="24"/>
        <v>0</v>
      </c>
      <c r="O55" s="262">
        <f t="shared" si="25"/>
        <v>0</v>
      </c>
      <c r="P55" s="263"/>
    </row>
    <row r="56" spans="1:16" s="38" customFormat="1" ht="27.75" customHeight="1">
      <c r="A56" s="254" t="s">
        <v>130</v>
      </c>
      <c r="B56" s="257" t="s">
        <v>131</v>
      </c>
      <c r="C56" s="246" t="s">
        <v>30</v>
      </c>
      <c r="D56" s="254">
        <v>1963.42</v>
      </c>
      <c r="E56" s="248">
        <f>'清单表'!F55</f>
        <v>108.8</v>
      </c>
      <c r="F56" s="249">
        <v>0</v>
      </c>
      <c r="G56" s="250">
        <f t="shared" si="26"/>
        <v>-108.8</v>
      </c>
      <c r="H56" s="251">
        <f t="shared" si="27"/>
        <v>-213620.096</v>
      </c>
      <c r="I56" s="254">
        <v>1963.42</v>
      </c>
      <c r="J56" s="248">
        <v>108.8</v>
      </c>
      <c r="K56" s="249">
        <v>0</v>
      </c>
      <c r="L56" s="250">
        <f t="shared" si="28"/>
        <v>-108.8</v>
      </c>
      <c r="M56" s="251">
        <f t="shared" si="29"/>
        <v>-213620.096</v>
      </c>
      <c r="N56" s="261">
        <f t="shared" si="24"/>
        <v>0</v>
      </c>
      <c r="O56" s="262">
        <f t="shared" si="25"/>
        <v>0</v>
      </c>
      <c r="P56" s="263"/>
    </row>
    <row r="57" spans="1:16" s="38" customFormat="1" ht="27.75" customHeight="1">
      <c r="A57" s="254" t="s">
        <v>132</v>
      </c>
      <c r="B57" s="257" t="s">
        <v>133</v>
      </c>
      <c r="C57" s="246" t="s">
        <v>30</v>
      </c>
      <c r="D57" s="254">
        <v>348.98</v>
      </c>
      <c r="E57" s="248">
        <f>'清单表'!F56</f>
        <v>193.82999999999998</v>
      </c>
      <c r="F57" s="249">
        <v>0</v>
      </c>
      <c r="G57" s="250">
        <f t="shared" si="26"/>
        <v>-193.82999999999998</v>
      </c>
      <c r="H57" s="251">
        <f t="shared" si="27"/>
        <v>-67642.7934</v>
      </c>
      <c r="I57" s="254">
        <v>348.98</v>
      </c>
      <c r="J57" s="248">
        <v>193.83</v>
      </c>
      <c r="K57" s="249">
        <v>0</v>
      </c>
      <c r="L57" s="250">
        <f t="shared" si="28"/>
        <v>-193.83</v>
      </c>
      <c r="M57" s="251">
        <f t="shared" si="29"/>
        <v>-67642.79340000001</v>
      </c>
      <c r="N57" s="261">
        <f t="shared" si="24"/>
        <v>0</v>
      </c>
      <c r="O57" s="262">
        <f t="shared" si="25"/>
        <v>0</v>
      </c>
      <c r="P57" s="263"/>
    </row>
    <row r="58" spans="1:16" s="38" customFormat="1" ht="27.75" customHeight="1">
      <c r="A58" s="254" t="s">
        <v>134</v>
      </c>
      <c r="B58" s="257" t="s">
        <v>135</v>
      </c>
      <c r="C58" s="246" t="s">
        <v>27</v>
      </c>
      <c r="D58" s="254">
        <v>135.35</v>
      </c>
      <c r="E58" s="248">
        <f>'清单表'!F57</f>
        <v>176</v>
      </c>
      <c r="F58" s="249">
        <v>0</v>
      </c>
      <c r="G58" s="250">
        <f t="shared" si="26"/>
        <v>-176</v>
      </c>
      <c r="H58" s="251">
        <f t="shared" si="27"/>
        <v>-23821.6</v>
      </c>
      <c r="I58" s="254">
        <v>135.35</v>
      </c>
      <c r="J58" s="248">
        <v>176</v>
      </c>
      <c r="K58" s="249">
        <v>0</v>
      </c>
      <c r="L58" s="250">
        <f t="shared" si="28"/>
        <v>-176</v>
      </c>
      <c r="M58" s="251">
        <f t="shared" si="29"/>
        <v>-23821.6</v>
      </c>
      <c r="N58" s="261">
        <f t="shared" si="24"/>
        <v>0</v>
      </c>
      <c r="O58" s="262">
        <f t="shared" si="25"/>
        <v>0</v>
      </c>
      <c r="P58" s="263"/>
    </row>
    <row r="59" spans="1:16" s="38" customFormat="1" ht="27.75" customHeight="1">
      <c r="A59" s="254" t="s">
        <v>136</v>
      </c>
      <c r="B59" s="257" t="s">
        <v>137</v>
      </c>
      <c r="C59" s="246" t="s">
        <v>30</v>
      </c>
      <c r="D59" s="254">
        <v>676.72</v>
      </c>
      <c r="E59" s="248">
        <f>'清单表'!F58</f>
        <v>62</v>
      </c>
      <c r="F59" s="249">
        <v>0</v>
      </c>
      <c r="G59" s="250">
        <f t="shared" si="26"/>
        <v>-62</v>
      </c>
      <c r="H59" s="251">
        <f t="shared" si="27"/>
        <v>-41956.64</v>
      </c>
      <c r="I59" s="254">
        <v>676.72</v>
      </c>
      <c r="J59" s="248">
        <v>62</v>
      </c>
      <c r="K59" s="249">
        <v>0</v>
      </c>
      <c r="L59" s="250">
        <f t="shared" si="28"/>
        <v>-62</v>
      </c>
      <c r="M59" s="251">
        <f t="shared" si="29"/>
        <v>-41956.64</v>
      </c>
      <c r="N59" s="261">
        <f t="shared" si="24"/>
        <v>0</v>
      </c>
      <c r="O59" s="262">
        <f t="shared" si="25"/>
        <v>0</v>
      </c>
      <c r="P59" s="263"/>
    </row>
    <row r="60" spans="1:16" s="38" customFormat="1" ht="27.75" customHeight="1">
      <c r="A60" s="254" t="s">
        <v>138</v>
      </c>
      <c r="B60" s="256" t="s">
        <v>139</v>
      </c>
      <c r="C60" s="254" t="s">
        <v>27</v>
      </c>
      <c r="D60" s="254">
        <v>98.65</v>
      </c>
      <c r="E60" s="248">
        <f>'清单表'!F59</f>
        <v>219.6</v>
      </c>
      <c r="F60" s="249">
        <v>0</v>
      </c>
      <c r="G60" s="250">
        <f t="shared" si="26"/>
        <v>-219.6</v>
      </c>
      <c r="H60" s="251">
        <f t="shared" si="27"/>
        <v>-21663.54</v>
      </c>
      <c r="I60" s="254">
        <v>98.65</v>
      </c>
      <c r="J60" s="248">
        <v>219.6</v>
      </c>
      <c r="K60" s="249">
        <v>0</v>
      </c>
      <c r="L60" s="250">
        <f t="shared" si="28"/>
        <v>-219.6</v>
      </c>
      <c r="M60" s="251">
        <f t="shared" si="29"/>
        <v>-21663.54</v>
      </c>
      <c r="N60" s="261">
        <f t="shared" si="24"/>
        <v>0</v>
      </c>
      <c r="O60" s="262">
        <f t="shared" si="25"/>
        <v>0</v>
      </c>
      <c r="P60" s="263"/>
    </row>
    <row r="61" spans="1:16" s="38" customFormat="1" ht="27.75" customHeight="1">
      <c r="A61" s="254" t="s">
        <v>140</v>
      </c>
      <c r="B61" s="257" t="s">
        <v>141</v>
      </c>
      <c r="C61" s="258" t="s">
        <v>142</v>
      </c>
      <c r="D61" s="259">
        <v>229.27</v>
      </c>
      <c r="E61" s="248">
        <f>'清单表'!F60</f>
        <v>36</v>
      </c>
      <c r="F61" s="249">
        <v>0</v>
      </c>
      <c r="G61" s="250">
        <f t="shared" si="26"/>
        <v>-36</v>
      </c>
      <c r="H61" s="251">
        <f t="shared" si="27"/>
        <v>-8253.720000000001</v>
      </c>
      <c r="I61" s="259">
        <v>229.27</v>
      </c>
      <c r="J61" s="248">
        <v>36</v>
      </c>
      <c r="K61" s="249">
        <v>0</v>
      </c>
      <c r="L61" s="250">
        <f t="shared" si="28"/>
        <v>-36</v>
      </c>
      <c r="M61" s="251">
        <f t="shared" si="29"/>
        <v>-8253.720000000001</v>
      </c>
      <c r="N61" s="261">
        <f aca="true" t="shared" si="30" ref="N61:N71">L61-G61</f>
        <v>0</v>
      </c>
      <c r="O61" s="262">
        <f aca="true" t="shared" si="31" ref="O61:O72">M61-H61</f>
        <v>0</v>
      </c>
      <c r="P61" s="263"/>
    </row>
    <row r="62" spans="1:16" s="38" customFormat="1" ht="27.75" customHeight="1">
      <c r="A62" s="254" t="s">
        <v>143</v>
      </c>
      <c r="B62" s="257" t="s">
        <v>144</v>
      </c>
      <c r="C62" s="254" t="s">
        <v>51</v>
      </c>
      <c r="D62" s="259">
        <v>2262.27</v>
      </c>
      <c r="E62" s="248">
        <f>'清单表'!F61</f>
        <v>24</v>
      </c>
      <c r="F62" s="249">
        <v>0</v>
      </c>
      <c r="G62" s="250">
        <f aca="true" t="shared" si="32" ref="G62:G71">F62-E62</f>
        <v>-24</v>
      </c>
      <c r="H62" s="251">
        <f aca="true" t="shared" si="33" ref="H62:H71">G62*D62</f>
        <v>-54294.479999999996</v>
      </c>
      <c r="I62" s="259">
        <v>2262.27</v>
      </c>
      <c r="J62" s="248">
        <v>24</v>
      </c>
      <c r="K62" s="249">
        <v>0</v>
      </c>
      <c r="L62" s="250">
        <f aca="true" t="shared" si="34" ref="L62:L71">K62-J62</f>
        <v>-24</v>
      </c>
      <c r="M62" s="251">
        <f aca="true" t="shared" si="35" ref="M62:M71">L62*I62</f>
        <v>-54294.479999999996</v>
      </c>
      <c r="N62" s="261">
        <f t="shared" si="30"/>
        <v>0</v>
      </c>
      <c r="O62" s="262">
        <f t="shared" si="31"/>
        <v>0</v>
      </c>
      <c r="P62" s="263"/>
    </row>
    <row r="63" spans="1:16" s="38" customFormat="1" ht="27.75" customHeight="1">
      <c r="A63" s="254" t="s">
        <v>145</v>
      </c>
      <c r="B63" s="257" t="s">
        <v>146</v>
      </c>
      <c r="C63" s="254" t="s">
        <v>51</v>
      </c>
      <c r="D63" s="254">
        <v>253.48</v>
      </c>
      <c r="E63" s="248">
        <f>'清单表'!F62</f>
        <v>224</v>
      </c>
      <c r="F63" s="249">
        <v>0</v>
      </c>
      <c r="G63" s="250">
        <f t="shared" si="32"/>
        <v>-224</v>
      </c>
      <c r="H63" s="251">
        <f t="shared" si="33"/>
        <v>-56779.52</v>
      </c>
      <c r="I63" s="254">
        <v>253.48</v>
      </c>
      <c r="J63" s="248">
        <v>224</v>
      </c>
      <c r="K63" s="249">
        <v>0</v>
      </c>
      <c r="L63" s="250">
        <f t="shared" si="34"/>
        <v>-224</v>
      </c>
      <c r="M63" s="251">
        <f t="shared" si="35"/>
        <v>-56779.52</v>
      </c>
      <c r="N63" s="261">
        <f t="shared" si="30"/>
        <v>0</v>
      </c>
      <c r="O63" s="262">
        <f t="shared" si="31"/>
        <v>0</v>
      </c>
      <c r="P63" s="263"/>
    </row>
    <row r="64" spans="1:16" s="38" customFormat="1" ht="27.75" customHeight="1">
      <c r="A64" s="254" t="s">
        <v>147</v>
      </c>
      <c r="B64" s="256" t="s">
        <v>148</v>
      </c>
      <c r="C64" s="258" t="s">
        <v>149</v>
      </c>
      <c r="D64" s="254">
        <v>4482.44</v>
      </c>
      <c r="E64" s="248">
        <f>'清单表'!F63</f>
        <v>2</v>
      </c>
      <c r="F64" s="249">
        <v>0</v>
      </c>
      <c r="G64" s="250">
        <f t="shared" si="32"/>
        <v>-2</v>
      </c>
      <c r="H64" s="251">
        <f t="shared" si="33"/>
        <v>-8964.88</v>
      </c>
      <c r="I64" s="254">
        <v>4482.44</v>
      </c>
      <c r="J64" s="248">
        <v>2</v>
      </c>
      <c r="K64" s="249">
        <v>0</v>
      </c>
      <c r="L64" s="250">
        <f t="shared" si="34"/>
        <v>-2</v>
      </c>
      <c r="M64" s="251">
        <f t="shared" si="35"/>
        <v>-8964.88</v>
      </c>
      <c r="N64" s="261">
        <f t="shared" si="30"/>
        <v>0</v>
      </c>
      <c r="O64" s="262">
        <f t="shared" si="31"/>
        <v>0</v>
      </c>
      <c r="P64" s="263"/>
    </row>
    <row r="65" spans="1:16" s="38" customFormat="1" ht="27.75" customHeight="1">
      <c r="A65" s="254" t="s">
        <v>150</v>
      </c>
      <c r="B65" s="256" t="s">
        <v>151</v>
      </c>
      <c r="C65" s="258" t="s">
        <v>149</v>
      </c>
      <c r="D65" s="254">
        <v>4912.93</v>
      </c>
      <c r="E65" s="248">
        <f>'清单表'!F64</f>
        <v>2</v>
      </c>
      <c r="F65" s="249">
        <v>0</v>
      </c>
      <c r="G65" s="250">
        <f t="shared" si="32"/>
        <v>-2</v>
      </c>
      <c r="H65" s="251">
        <f t="shared" si="33"/>
        <v>-9825.86</v>
      </c>
      <c r="I65" s="254">
        <v>4912.93</v>
      </c>
      <c r="J65" s="248">
        <v>2</v>
      </c>
      <c r="K65" s="249">
        <v>0</v>
      </c>
      <c r="L65" s="250">
        <f t="shared" si="34"/>
        <v>-2</v>
      </c>
      <c r="M65" s="251">
        <f t="shared" si="35"/>
        <v>-9825.86</v>
      </c>
      <c r="N65" s="261">
        <f t="shared" si="30"/>
        <v>0</v>
      </c>
      <c r="O65" s="262">
        <f t="shared" si="31"/>
        <v>0</v>
      </c>
      <c r="P65" s="263"/>
    </row>
    <row r="66" spans="1:16" s="38" customFormat="1" ht="26.25" customHeight="1">
      <c r="A66" s="254" t="s">
        <v>152</v>
      </c>
      <c r="B66" s="256" t="s">
        <v>153</v>
      </c>
      <c r="C66" s="258" t="s">
        <v>154</v>
      </c>
      <c r="D66" s="254">
        <v>115.89</v>
      </c>
      <c r="E66" s="248">
        <f>'清单表'!F65</f>
        <v>192</v>
      </c>
      <c r="F66" s="249">
        <v>0</v>
      </c>
      <c r="G66" s="250">
        <f t="shared" si="32"/>
        <v>-192</v>
      </c>
      <c r="H66" s="251">
        <f t="shared" si="33"/>
        <v>-22250.88</v>
      </c>
      <c r="I66" s="254">
        <v>115.89</v>
      </c>
      <c r="J66" s="248">
        <v>192</v>
      </c>
      <c r="K66" s="249">
        <v>0</v>
      </c>
      <c r="L66" s="250">
        <f t="shared" si="34"/>
        <v>-192</v>
      </c>
      <c r="M66" s="251">
        <f t="shared" si="35"/>
        <v>-22250.88</v>
      </c>
      <c r="N66" s="261">
        <f t="shared" si="30"/>
        <v>0</v>
      </c>
      <c r="O66" s="262">
        <f t="shared" si="31"/>
        <v>0</v>
      </c>
      <c r="P66" s="263"/>
    </row>
    <row r="67" spans="1:16" s="38" customFormat="1" ht="26.25" customHeight="1">
      <c r="A67" s="254" t="s">
        <v>155</v>
      </c>
      <c r="B67" s="256" t="s">
        <v>156</v>
      </c>
      <c r="C67" s="264" t="s">
        <v>154</v>
      </c>
      <c r="D67" s="254">
        <v>197.05</v>
      </c>
      <c r="E67" s="248">
        <f>'清单表'!F66</f>
        <v>12</v>
      </c>
      <c r="F67" s="249">
        <v>0</v>
      </c>
      <c r="G67" s="250">
        <f t="shared" si="32"/>
        <v>-12</v>
      </c>
      <c r="H67" s="251">
        <f t="shared" si="33"/>
        <v>-2364.6000000000004</v>
      </c>
      <c r="I67" s="254">
        <v>197.05</v>
      </c>
      <c r="J67" s="248">
        <v>12</v>
      </c>
      <c r="K67" s="249">
        <v>0</v>
      </c>
      <c r="L67" s="250">
        <f t="shared" si="34"/>
        <v>-12</v>
      </c>
      <c r="M67" s="251">
        <f t="shared" si="35"/>
        <v>-2364.6000000000004</v>
      </c>
      <c r="N67" s="261">
        <f t="shared" si="30"/>
        <v>0</v>
      </c>
      <c r="O67" s="262">
        <f t="shared" si="31"/>
        <v>0</v>
      </c>
      <c r="P67" s="263"/>
    </row>
    <row r="68" spans="1:16" s="38" customFormat="1" ht="27.75" customHeight="1">
      <c r="A68" s="254" t="s">
        <v>157</v>
      </c>
      <c r="B68" s="256" t="s">
        <v>158</v>
      </c>
      <c r="C68" s="258" t="s">
        <v>142</v>
      </c>
      <c r="D68" s="254">
        <v>1098.88</v>
      </c>
      <c r="E68" s="248">
        <f>'清单表'!F67</f>
        <v>3</v>
      </c>
      <c r="F68" s="249">
        <v>0</v>
      </c>
      <c r="G68" s="250">
        <f t="shared" si="32"/>
        <v>-3</v>
      </c>
      <c r="H68" s="251">
        <f t="shared" si="33"/>
        <v>-3296.6400000000003</v>
      </c>
      <c r="I68" s="254">
        <v>1098.88</v>
      </c>
      <c r="J68" s="248">
        <v>3</v>
      </c>
      <c r="K68" s="249">
        <v>0</v>
      </c>
      <c r="L68" s="250">
        <f t="shared" si="34"/>
        <v>-3</v>
      </c>
      <c r="M68" s="251">
        <f t="shared" si="35"/>
        <v>-3296.6400000000003</v>
      </c>
      <c r="N68" s="261">
        <f t="shared" si="30"/>
        <v>0</v>
      </c>
      <c r="O68" s="262">
        <f t="shared" si="31"/>
        <v>0</v>
      </c>
      <c r="P68" s="263"/>
    </row>
    <row r="69" spans="1:16" s="38" customFormat="1" ht="27.75" customHeight="1">
      <c r="A69" s="254" t="s">
        <v>159</v>
      </c>
      <c r="B69" s="256" t="s">
        <v>160</v>
      </c>
      <c r="C69" s="258" t="s">
        <v>142</v>
      </c>
      <c r="D69" s="254">
        <v>3986.03</v>
      </c>
      <c r="E69" s="248">
        <f>'清单表'!F68</f>
        <v>1</v>
      </c>
      <c r="F69" s="249">
        <v>0</v>
      </c>
      <c r="G69" s="250">
        <f t="shared" si="32"/>
        <v>-1</v>
      </c>
      <c r="H69" s="251">
        <f t="shared" si="33"/>
        <v>-3986.03</v>
      </c>
      <c r="I69" s="254">
        <v>3986.03</v>
      </c>
      <c r="J69" s="248">
        <v>1</v>
      </c>
      <c r="K69" s="249">
        <v>0</v>
      </c>
      <c r="L69" s="250">
        <f t="shared" si="34"/>
        <v>-1</v>
      </c>
      <c r="M69" s="251">
        <f t="shared" si="35"/>
        <v>-3986.03</v>
      </c>
      <c r="N69" s="261">
        <f t="shared" si="30"/>
        <v>0</v>
      </c>
      <c r="O69" s="262">
        <f t="shared" si="31"/>
        <v>0</v>
      </c>
      <c r="P69" s="263"/>
    </row>
    <row r="70" spans="1:16" s="38" customFormat="1" ht="27.75" customHeight="1">
      <c r="A70" s="254" t="s">
        <v>161</v>
      </c>
      <c r="B70" s="256" t="s">
        <v>162</v>
      </c>
      <c r="C70" s="254" t="s">
        <v>27</v>
      </c>
      <c r="D70" s="254">
        <v>49.35</v>
      </c>
      <c r="E70" s="248">
        <f>'清单表'!F69</f>
        <v>406.56</v>
      </c>
      <c r="F70" s="249">
        <v>0</v>
      </c>
      <c r="G70" s="250">
        <f t="shared" si="32"/>
        <v>-406.56</v>
      </c>
      <c r="H70" s="251">
        <f t="shared" si="33"/>
        <v>-20063.736</v>
      </c>
      <c r="I70" s="254">
        <v>49.35</v>
      </c>
      <c r="J70" s="248">
        <v>406.56</v>
      </c>
      <c r="K70" s="249">
        <v>0</v>
      </c>
      <c r="L70" s="250">
        <f t="shared" si="34"/>
        <v>-406.56</v>
      </c>
      <c r="M70" s="251">
        <f t="shared" si="35"/>
        <v>-20063.736</v>
      </c>
      <c r="N70" s="261">
        <f t="shared" si="30"/>
        <v>0</v>
      </c>
      <c r="O70" s="262">
        <f t="shared" si="31"/>
        <v>0</v>
      </c>
      <c r="P70" s="263"/>
    </row>
    <row r="71" spans="1:16" s="38" customFormat="1" ht="27.75" customHeight="1">
      <c r="A71" s="254" t="s">
        <v>163</v>
      </c>
      <c r="B71" s="256" t="s">
        <v>164</v>
      </c>
      <c r="C71" s="258" t="s">
        <v>142</v>
      </c>
      <c r="D71" s="254">
        <v>6.8</v>
      </c>
      <c r="E71" s="248">
        <f>'清单表'!F70</f>
        <v>20</v>
      </c>
      <c r="F71" s="249">
        <v>0</v>
      </c>
      <c r="G71" s="250">
        <f t="shared" si="32"/>
        <v>-20</v>
      </c>
      <c r="H71" s="251">
        <f t="shared" si="33"/>
        <v>-136</v>
      </c>
      <c r="I71" s="254">
        <v>6.8</v>
      </c>
      <c r="J71" s="248">
        <v>20</v>
      </c>
      <c r="K71" s="249">
        <v>0</v>
      </c>
      <c r="L71" s="250">
        <f t="shared" si="34"/>
        <v>-20</v>
      </c>
      <c r="M71" s="251">
        <f t="shared" si="35"/>
        <v>-136</v>
      </c>
      <c r="N71" s="261">
        <f t="shared" si="30"/>
        <v>0</v>
      </c>
      <c r="O71" s="262">
        <f t="shared" si="31"/>
        <v>0</v>
      </c>
      <c r="P71" s="263"/>
    </row>
    <row r="72" spans="1:16" s="38" customFormat="1" ht="27.75" customHeight="1">
      <c r="A72" s="263"/>
      <c r="B72" s="476" t="s">
        <v>492</v>
      </c>
      <c r="C72" s="263"/>
      <c r="D72" s="263"/>
      <c r="E72" s="263"/>
      <c r="F72" s="263"/>
      <c r="G72" s="263"/>
      <c r="H72" s="251">
        <f>SUM(H6:H71)</f>
        <v>-6373256.447421592</v>
      </c>
      <c r="I72" s="263"/>
      <c r="J72" s="263"/>
      <c r="K72" s="263"/>
      <c r="L72" s="263"/>
      <c r="M72" s="251">
        <f>SUM(M6:M71)</f>
        <v>-6379776.424099996</v>
      </c>
      <c r="N72" s="261"/>
      <c r="O72" s="262">
        <f t="shared" si="31"/>
        <v>-6519.976678404026</v>
      </c>
      <c r="P72" s="263"/>
    </row>
  </sheetData>
  <sheetProtection/>
  <mergeCells count="16">
    <mergeCell ref="N3:O4"/>
    <mergeCell ref="A3:A5"/>
    <mergeCell ref="B3:B5"/>
    <mergeCell ref="C3:C5"/>
    <mergeCell ref="D4:D5"/>
    <mergeCell ref="E4:E5"/>
    <mergeCell ref="F4:F5"/>
    <mergeCell ref="A2:P2"/>
    <mergeCell ref="D3:H3"/>
    <mergeCell ref="I3:M3"/>
    <mergeCell ref="G4:H4"/>
    <mergeCell ref="L4:M4"/>
    <mergeCell ref="I4:I5"/>
    <mergeCell ref="J4:J5"/>
    <mergeCell ref="K4:K5"/>
    <mergeCell ref="P3:P4"/>
  </mergeCells>
  <printOptions/>
  <pageMargins left="0.71" right="0.55" top="0.33" bottom="0.44" header="1.81" footer="0.28"/>
  <pageSetup horizontalDpi="600" verticalDpi="600" orientation="landscape" paperSize="9" scale="6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selection activeCell="I15" sqref="I15"/>
    </sheetView>
  </sheetViews>
  <sheetFormatPr defaultColWidth="9.00390625" defaultRowHeight="14.25"/>
  <cols>
    <col min="1" max="1" width="7.125" style="48" customWidth="1"/>
    <col min="2" max="2" width="4.75390625" style="48" customWidth="1"/>
    <col min="3" max="3" width="11.75390625" style="48" customWidth="1"/>
    <col min="4" max="7" width="16.625" style="48" customWidth="1"/>
    <col min="8" max="16384" width="9.00390625" style="48" customWidth="1"/>
  </cols>
  <sheetData>
    <row r="1" spans="1:7" s="224" customFormat="1" ht="30.75" customHeight="1">
      <c r="A1" s="320" t="e">
        <f>#REF!</f>
        <v>#REF!</v>
      </c>
      <c r="B1" s="320"/>
      <c r="C1" s="320"/>
      <c r="D1" s="320"/>
      <c r="E1" s="320"/>
      <c r="F1" s="320"/>
      <c r="G1" s="320"/>
    </row>
    <row r="2" spans="1:7" ht="30.75" customHeight="1">
      <c r="A2" s="321" t="s">
        <v>180</v>
      </c>
      <c r="B2" s="322"/>
      <c r="C2" s="322"/>
      <c r="D2" s="322"/>
      <c r="E2" s="322"/>
      <c r="F2" s="322"/>
      <c r="G2" s="322"/>
    </row>
    <row r="3" spans="1:6" s="225" customFormat="1" ht="22.5" customHeight="1">
      <c r="A3" s="227"/>
      <c r="B3" s="228" t="s">
        <v>1</v>
      </c>
      <c r="C3" s="229" t="e">
        <f>#REF!</f>
        <v>#REF!</v>
      </c>
      <c r="E3" s="230" t="s">
        <v>2</v>
      </c>
      <c r="F3" s="229" t="e">
        <f>#REF!</f>
        <v>#REF!</v>
      </c>
    </row>
    <row r="4" spans="1:6" s="225" customFormat="1" ht="22.5" customHeight="1">
      <c r="A4" s="227"/>
      <c r="B4" s="230" t="s">
        <v>3</v>
      </c>
      <c r="C4" s="323" t="e">
        <f>#REF!</f>
        <v>#REF!</v>
      </c>
      <c r="D4" s="323"/>
      <c r="E4" s="230" t="s">
        <v>181</v>
      </c>
      <c r="F4" s="229" t="e">
        <f>#REF!</f>
        <v>#REF!</v>
      </c>
    </row>
    <row r="5" spans="1:7" ht="27.75" customHeight="1">
      <c r="A5" s="324"/>
      <c r="B5" s="325"/>
      <c r="C5" s="325"/>
      <c r="D5" s="325"/>
      <c r="E5" s="231"/>
      <c r="F5" s="231"/>
      <c r="G5" s="232"/>
    </row>
    <row r="6" spans="1:7" ht="27.75" customHeight="1">
      <c r="A6" s="326"/>
      <c r="B6" s="327"/>
      <c r="C6" s="327"/>
      <c r="D6" s="327"/>
      <c r="E6" s="208"/>
      <c r="F6" s="208"/>
      <c r="G6" s="233"/>
    </row>
    <row r="7" spans="1:7" ht="27.75" customHeight="1">
      <c r="A7" s="328" t="s">
        <v>182</v>
      </c>
      <c r="B7" s="327"/>
      <c r="C7" s="327"/>
      <c r="D7" s="327"/>
      <c r="E7" s="208"/>
      <c r="F7" s="208"/>
      <c r="G7" s="233"/>
    </row>
    <row r="8" spans="1:7" ht="27.75" customHeight="1">
      <c r="A8" s="326"/>
      <c r="B8" s="327"/>
      <c r="C8" s="327"/>
      <c r="D8" s="327"/>
      <c r="E8" s="208"/>
      <c r="F8" s="208"/>
      <c r="G8" s="233"/>
    </row>
    <row r="9" spans="1:7" ht="27.75" customHeight="1">
      <c r="A9" s="326"/>
      <c r="B9" s="327"/>
      <c r="C9" s="327"/>
      <c r="D9" s="327"/>
      <c r="E9" s="208"/>
      <c r="F9" s="208"/>
      <c r="G9" s="233"/>
    </row>
    <row r="10" spans="1:7" ht="27.75" customHeight="1">
      <c r="A10" s="326"/>
      <c r="B10" s="327"/>
      <c r="C10" s="327"/>
      <c r="D10" s="327"/>
      <c r="E10" s="208"/>
      <c r="F10" s="208"/>
      <c r="G10" s="233"/>
    </row>
    <row r="11" spans="1:7" ht="27.75" customHeight="1">
      <c r="A11" s="326"/>
      <c r="B11" s="327"/>
      <c r="C11" s="327"/>
      <c r="D11" s="327"/>
      <c r="E11" s="208"/>
      <c r="F11" s="208"/>
      <c r="G11" s="233"/>
    </row>
    <row r="12" spans="1:7" ht="27.75" customHeight="1">
      <c r="A12" s="326"/>
      <c r="B12" s="327"/>
      <c r="C12" s="327"/>
      <c r="D12" s="327"/>
      <c r="E12" s="208"/>
      <c r="F12" s="208"/>
      <c r="G12" s="233"/>
    </row>
    <row r="13" spans="1:7" s="226" customFormat="1" ht="27.75" customHeight="1">
      <c r="A13" s="326"/>
      <c r="B13" s="327"/>
      <c r="C13" s="327"/>
      <c r="D13" s="327"/>
      <c r="E13" s="234"/>
      <c r="F13" s="234"/>
      <c r="G13" s="235"/>
    </row>
    <row r="14" spans="1:7" s="226" customFormat="1" ht="27.75" customHeight="1">
      <c r="A14" s="326"/>
      <c r="B14" s="327"/>
      <c r="C14" s="327"/>
      <c r="D14" s="327"/>
      <c r="E14" s="234"/>
      <c r="F14" s="234"/>
      <c r="G14" s="235"/>
    </row>
    <row r="15" spans="1:7" s="226" customFormat="1" ht="27.75" customHeight="1">
      <c r="A15" s="326"/>
      <c r="B15" s="327"/>
      <c r="C15" s="327"/>
      <c r="D15" s="327"/>
      <c r="E15" s="234"/>
      <c r="F15" s="234"/>
      <c r="G15" s="235"/>
    </row>
    <row r="16" spans="1:7" s="226" customFormat="1" ht="27.75" customHeight="1">
      <c r="A16" s="326"/>
      <c r="B16" s="327"/>
      <c r="C16" s="327"/>
      <c r="D16" s="327"/>
      <c r="E16" s="234"/>
      <c r="F16" s="234"/>
      <c r="G16" s="235"/>
    </row>
    <row r="17" spans="1:7" s="226" customFormat="1" ht="27.75" customHeight="1">
      <c r="A17" s="326"/>
      <c r="B17" s="327"/>
      <c r="C17" s="327"/>
      <c r="D17" s="327"/>
      <c r="E17" s="234"/>
      <c r="F17" s="234"/>
      <c r="G17" s="235"/>
    </row>
    <row r="18" spans="1:7" s="226" customFormat="1" ht="27.75" customHeight="1">
      <c r="A18" s="326"/>
      <c r="B18" s="327"/>
      <c r="C18" s="327"/>
      <c r="D18" s="327"/>
      <c r="E18" s="234"/>
      <c r="F18" s="234"/>
      <c r="G18" s="235"/>
    </row>
    <row r="19" spans="1:7" s="226" customFormat="1" ht="27.75" customHeight="1">
      <c r="A19" s="326"/>
      <c r="B19" s="327"/>
      <c r="C19" s="327"/>
      <c r="D19" s="327"/>
      <c r="E19" s="234"/>
      <c r="F19" s="234"/>
      <c r="G19" s="235"/>
    </row>
    <row r="20" spans="1:7" ht="27.75" customHeight="1">
      <c r="A20" s="326"/>
      <c r="B20" s="327"/>
      <c r="C20" s="327"/>
      <c r="D20" s="327"/>
      <c r="E20" s="208"/>
      <c r="F20" s="208"/>
      <c r="G20" s="233"/>
    </row>
    <row r="21" spans="1:7" ht="27.75" customHeight="1">
      <c r="A21" s="326"/>
      <c r="B21" s="327"/>
      <c r="C21" s="327"/>
      <c r="D21" s="327"/>
      <c r="E21" s="208"/>
      <c r="F21" s="208"/>
      <c r="G21" s="233"/>
    </row>
    <row r="22" spans="1:7" ht="27.75" customHeight="1">
      <c r="A22" s="326"/>
      <c r="B22" s="327"/>
      <c r="C22" s="327"/>
      <c r="D22" s="327"/>
      <c r="E22" s="208"/>
      <c r="F22" s="208"/>
      <c r="G22" s="233"/>
    </row>
    <row r="23" spans="1:7" ht="27.75" customHeight="1">
      <c r="A23" s="329"/>
      <c r="B23" s="330"/>
      <c r="C23" s="330"/>
      <c r="D23" s="330"/>
      <c r="E23" s="236"/>
      <c r="F23" s="236"/>
      <c r="G23" s="237"/>
    </row>
    <row r="24" spans="1:7" ht="39" customHeight="1">
      <c r="A24" s="238" t="s">
        <v>183</v>
      </c>
      <c r="B24" s="331" t="s">
        <v>184</v>
      </c>
      <c r="C24" s="332"/>
      <c r="D24" s="239" t="s">
        <v>185</v>
      </c>
      <c r="E24" s="239" t="s">
        <v>186</v>
      </c>
      <c r="F24" s="239" t="s">
        <v>187</v>
      </c>
      <c r="G24" s="239" t="s">
        <v>188</v>
      </c>
    </row>
    <row r="25" spans="1:7" ht="80.25" customHeight="1">
      <c r="A25" s="238" t="s">
        <v>189</v>
      </c>
      <c r="B25" s="333"/>
      <c r="C25" s="332"/>
      <c r="D25" s="240"/>
      <c r="E25" s="240"/>
      <c r="F25" s="240"/>
      <c r="G25" s="240"/>
    </row>
    <row r="26" spans="1:7" ht="54" customHeight="1">
      <c r="A26" s="238" t="s">
        <v>190</v>
      </c>
      <c r="B26" s="333"/>
      <c r="C26" s="332"/>
      <c r="D26" s="240"/>
      <c r="E26" s="240"/>
      <c r="F26" s="240"/>
      <c r="G26" s="240"/>
    </row>
  </sheetData>
  <sheetProtection/>
  <mergeCells count="25">
    <mergeCell ref="B26:C26"/>
    <mergeCell ref="A20:D20"/>
    <mergeCell ref="A21:D21"/>
    <mergeCell ref="A22:D22"/>
    <mergeCell ref="A23:D23"/>
    <mergeCell ref="B24:C24"/>
    <mergeCell ref="B25:C25"/>
    <mergeCell ref="A14:D14"/>
    <mergeCell ref="A15:D15"/>
    <mergeCell ref="A16:D16"/>
    <mergeCell ref="A17:D17"/>
    <mergeCell ref="A18:D18"/>
    <mergeCell ref="A19:D19"/>
    <mergeCell ref="A8:D8"/>
    <mergeCell ref="A9:D9"/>
    <mergeCell ref="A10:D10"/>
    <mergeCell ref="A11:D11"/>
    <mergeCell ref="A12:D12"/>
    <mergeCell ref="A13:D13"/>
    <mergeCell ref="A1:G1"/>
    <mergeCell ref="A2:G2"/>
    <mergeCell ref="C4:D4"/>
    <mergeCell ref="A5:D5"/>
    <mergeCell ref="A6:D6"/>
    <mergeCell ref="A7:D7"/>
  </mergeCells>
  <printOptions/>
  <pageMargins left="0.98" right="0.86" top="0.98" bottom="0.79" header="0.35" footer="0.59"/>
  <pageSetup horizontalDpi="600" verticalDpi="600" orientation="portrait" paperSize="9" scale="85"/>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dimension ref="A1:G25"/>
  <sheetViews>
    <sheetView zoomScalePageLayoutView="0" workbookViewId="0" topLeftCell="A7">
      <selection activeCell="D19" sqref="D19"/>
    </sheetView>
  </sheetViews>
  <sheetFormatPr defaultColWidth="9.00390625" defaultRowHeight="14.25"/>
  <cols>
    <col min="1" max="1" width="13.75390625" style="208" customWidth="1"/>
    <col min="2" max="2" width="6.25390625" style="208" customWidth="1"/>
    <col min="3" max="3" width="20.00390625" style="208" customWidth="1"/>
    <col min="4" max="4" width="19.75390625" style="208" customWidth="1"/>
    <col min="5" max="6" width="10.00390625" style="208" customWidth="1"/>
    <col min="7" max="7" width="19.25390625" style="208" customWidth="1"/>
    <col min="8" max="8" width="6.25390625" style="208" customWidth="1"/>
    <col min="9" max="16384" width="9.00390625" style="208" customWidth="1"/>
  </cols>
  <sheetData>
    <row r="1" spans="1:7" s="206" customFormat="1" ht="30.75" customHeight="1">
      <c r="A1" s="334" t="e">
        <f>#REF!</f>
        <v>#REF!</v>
      </c>
      <c r="B1" s="334"/>
      <c r="C1" s="334"/>
      <c r="D1" s="334"/>
      <c r="E1" s="334"/>
      <c r="F1" s="334"/>
      <c r="G1" s="334"/>
    </row>
    <row r="2" spans="1:7" ht="30.75" customHeight="1">
      <c r="A2" s="335" t="s">
        <v>191</v>
      </c>
      <c r="B2" s="336"/>
      <c r="C2" s="336"/>
      <c r="D2" s="336"/>
      <c r="E2" s="336"/>
      <c r="F2" s="336"/>
      <c r="G2" s="336"/>
    </row>
    <row r="3" spans="1:6" s="207" customFormat="1" ht="24" customHeight="1">
      <c r="A3" s="209" t="s">
        <v>192</v>
      </c>
      <c r="B3" s="1" t="e">
        <f>#REF!</f>
        <v>#REF!</v>
      </c>
      <c r="E3" s="210" t="s">
        <v>2</v>
      </c>
      <c r="F3" s="1" t="e">
        <f>#REF!</f>
        <v>#REF!</v>
      </c>
    </row>
    <row r="4" spans="1:6" s="207" customFormat="1" ht="24" customHeight="1">
      <c r="A4" s="209" t="s">
        <v>3</v>
      </c>
      <c r="B4" s="1" t="e">
        <f>#REF!</f>
        <v>#REF!</v>
      </c>
      <c r="E4" s="210" t="s">
        <v>193</v>
      </c>
      <c r="F4" s="1" t="e">
        <f>#REF!</f>
        <v>#REF!</v>
      </c>
    </row>
    <row r="5" spans="1:7" s="1" customFormat="1" ht="61.5" customHeight="1">
      <c r="A5" s="337" t="s">
        <v>194</v>
      </c>
      <c r="B5" s="338"/>
      <c r="C5" s="291" t="s">
        <v>195</v>
      </c>
      <c r="D5" s="291"/>
      <c r="E5" s="291"/>
      <c r="F5" s="211" t="s">
        <v>196</v>
      </c>
      <c r="G5" s="212"/>
    </row>
    <row r="6" spans="1:7" s="207" customFormat="1" ht="28.5" customHeight="1">
      <c r="A6" s="213" t="s">
        <v>197</v>
      </c>
      <c r="B6" s="214"/>
      <c r="C6" s="215"/>
      <c r="D6" s="215"/>
      <c r="E6" s="215"/>
      <c r="F6" s="216"/>
      <c r="G6" s="217"/>
    </row>
    <row r="7" spans="1:7" s="207" customFormat="1" ht="28.5" customHeight="1">
      <c r="A7" s="342" t="s">
        <v>198</v>
      </c>
      <c r="B7" s="343"/>
      <c r="C7" s="343"/>
      <c r="D7" s="343"/>
      <c r="E7" s="343"/>
      <c r="F7" s="343"/>
      <c r="G7" s="344"/>
    </row>
    <row r="8" spans="1:7" s="207" customFormat="1" ht="28.5" customHeight="1">
      <c r="A8" s="342"/>
      <c r="B8" s="343"/>
      <c r="C8" s="343"/>
      <c r="D8" s="343"/>
      <c r="E8" s="343"/>
      <c r="F8" s="343"/>
      <c r="G8" s="344"/>
    </row>
    <row r="9" spans="1:7" s="207" customFormat="1" ht="28.5" customHeight="1">
      <c r="A9" s="342"/>
      <c r="B9" s="343"/>
      <c r="C9" s="343"/>
      <c r="D9" s="343"/>
      <c r="E9" s="343"/>
      <c r="F9" s="343"/>
      <c r="G9" s="344"/>
    </row>
    <row r="10" spans="1:7" s="207" customFormat="1" ht="28.5" customHeight="1">
      <c r="A10" s="342"/>
      <c r="B10" s="343"/>
      <c r="C10" s="343"/>
      <c r="D10" s="343"/>
      <c r="E10" s="343"/>
      <c r="F10" s="343"/>
      <c r="G10" s="344"/>
    </row>
    <row r="11" spans="1:7" s="207" customFormat="1" ht="28.5" customHeight="1">
      <c r="A11" s="218"/>
      <c r="B11" s="216"/>
      <c r="C11" s="216"/>
      <c r="D11" s="216"/>
      <c r="E11" s="216"/>
      <c r="F11" s="216"/>
      <c r="G11" s="217"/>
    </row>
    <row r="12" spans="1:7" s="207" customFormat="1" ht="28.5" customHeight="1">
      <c r="A12" s="218"/>
      <c r="B12" s="216"/>
      <c r="C12" s="216"/>
      <c r="D12" s="216"/>
      <c r="E12" s="216"/>
      <c r="F12" s="216"/>
      <c r="G12" s="217"/>
    </row>
    <row r="13" spans="1:7" s="207" customFormat="1" ht="28.5" customHeight="1">
      <c r="A13" s="218"/>
      <c r="B13" s="216"/>
      <c r="C13" s="216"/>
      <c r="D13" s="216"/>
      <c r="E13" s="216"/>
      <c r="F13" s="216"/>
      <c r="G13" s="217"/>
    </row>
    <row r="14" spans="1:7" s="207" customFormat="1" ht="28.5" customHeight="1">
      <c r="A14" s="218"/>
      <c r="B14" s="216"/>
      <c r="C14" s="216"/>
      <c r="D14" s="216"/>
      <c r="E14" s="216"/>
      <c r="F14" s="216"/>
      <c r="G14" s="217"/>
    </row>
    <row r="15" spans="1:7" s="207" customFormat="1" ht="28.5" customHeight="1">
      <c r="A15" s="218"/>
      <c r="B15" s="216"/>
      <c r="C15" s="216"/>
      <c r="D15" s="216"/>
      <c r="E15" s="216"/>
      <c r="F15" s="216"/>
      <c r="G15" s="217"/>
    </row>
    <row r="16" spans="1:7" s="207" customFormat="1" ht="28.5" customHeight="1">
      <c r="A16" s="218"/>
      <c r="B16" s="216"/>
      <c r="C16" s="216"/>
      <c r="D16" s="216"/>
      <c r="E16" s="216"/>
      <c r="F16" s="216"/>
      <c r="G16" s="217"/>
    </row>
    <row r="17" spans="1:7" s="207" customFormat="1" ht="28.5" customHeight="1">
      <c r="A17" s="218"/>
      <c r="B17" s="216"/>
      <c r="C17" s="1"/>
      <c r="D17" s="216"/>
      <c r="E17" s="216"/>
      <c r="F17" s="216"/>
      <c r="G17" s="217"/>
    </row>
    <row r="18" spans="1:7" s="207" customFormat="1" ht="28.5" customHeight="1">
      <c r="A18" s="219" t="s">
        <v>199</v>
      </c>
      <c r="B18" s="1"/>
      <c r="C18" s="216"/>
      <c r="D18" s="216"/>
      <c r="E18" s="216"/>
      <c r="F18" s="216"/>
      <c r="G18" s="217"/>
    </row>
    <row r="19" spans="1:7" s="207" customFormat="1" ht="28.5" customHeight="1">
      <c r="A19" s="218"/>
      <c r="B19" s="216"/>
      <c r="C19" s="220" t="s">
        <v>200</v>
      </c>
      <c r="D19" s="216"/>
      <c r="E19" s="216"/>
      <c r="F19" s="216"/>
      <c r="G19" s="217"/>
    </row>
    <row r="20" spans="1:7" s="207" customFormat="1" ht="28.5" customHeight="1">
      <c r="A20" s="218"/>
      <c r="B20" s="216"/>
      <c r="C20" s="216"/>
      <c r="D20" s="216"/>
      <c r="E20" s="216"/>
      <c r="F20" s="216"/>
      <c r="G20" s="217"/>
    </row>
    <row r="21" spans="1:7" s="207" customFormat="1" ht="28.5" customHeight="1">
      <c r="A21" s="218"/>
      <c r="B21" s="216"/>
      <c r="C21" s="216"/>
      <c r="D21" s="216"/>
      <c r="E21" s="216"/>
      <c r="F21" s="216"/>
      <c r="G21" s="217"/>
    </row>
    <row r="22" spans="1:7" s="207" customFormat="1" ht="28.5" customHeight="1">
      <c r="A22" s="218"/>
      <c r="B22" s="216"/>
      <c r="C22" s="216"/>
      <c r="D22" s="216"/>
      <c r="E22" s="216"/>
      <c r="F22" s="216"/>
      <c r="G22" s="217"/>
    </row>
    <row r="23" spans="1:7" s="207" customFormat="1" ht="28.5" customHeight="1">
      <c r="A23" s="218"/>
      <c r="B23" s="216"/>
      <c r="C23" s="216"/>
      <c r="D23" s="216"/>
      <c r="E23" s="216"/>
      <c r="F23" s="216"/>
      <c r="G23" s="217"/>
    </row>
    <row r="24" spans="1:7" s="207" customFormat="1" ht="40.5" customHeight="1">
      <c r="A24" s="288" t="s">
        <v>201</v>
      </c>
      <c r="B24" s="289"/>
      <c r="C24" s="221" t="s">
        <v>202</v>
      </c>
      <c r="D24" s="221" t="s">
        <v>186</v>
      </c>
      <c r="E24" s="339" t="s">
        <v>203</v>
      </c>
      <c r="F24" s="340"/>
      <c r="G24" s="221" t="s">
        <v>204</v>
      </c>
    </row>
    <row r="25" spans="1:7" s="207" customFormat="1" ht="137.25" customHeight="1">
      <c r="A25" s="289"/>
      <c r="B25" s="289"/>
      <c r="C25" s="222"/>
      <c r="D25" s="222"/>
      <c r="E25" s="341"/>
      <c r="F25" s="340"/>
      <c r="G25" s="223"/>
    </row>
  </sheetData>
  <sheetProtection/>
  <mergeCells count="9">
    <mergeCell ref="A25:B25"/>
    <mergeCell ref="E25:F25"/>
    <mergeCell ref="A7:G10"/>
    <mergeCell ref="A1:G1"/>
    <mergeCell ref="A2:G2"/>
    <mergeCell ref="A5:B5"/>
    <mergeCell ref="C5:E5"/>
    <mergeCell ref="A24:B24"/>
    <mergeCell ref="E24:F24"/>
  </mergeCells>
  <printOptions/>
  <pageMargins left="0.98" right="0.59" top="0.98" bottom="0.79" header="0.51" footer="0.59"/>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tabColor indexed="49"/>
  </sheetPr>
  <dimension ref="A1:W30"/>
  <sheetViews>
    <sheetView zoomScalePageLayoutView="0" workbookViewId="0" topLeftCell="A1">
      <pane xSplit="4" ySplit="4" topLeftCell="E20" activePane="bottomRight" state="frozen"/>
      <selection pane="topLeft" activeCell="A1" sqref="A1"/>
      <selection pane="topRight" activeCell="A1" sqref="A1"/>
      <selection pane="bottomLeft" activeCell="A1" sqref="A1"/>
      <selection pane="bottomRight" activeCell="R19" sqref="R19:R21"/>
    </sheetView>
  </sheetViews>
  <sheetFormatPr defaultColWidth="9.00390625" defaultRowHeight="14.25"/>
  <cols>
    <col min="1" max="2" width="8.625" style="32" customWidth="1"/>
    <col min="3" max="3" width="5.25390625" style="32" customWidth="1"/>
    <col min="4" max="4" width="6.375" style="32" customWidth="1"/>
    <col min="5" max="5" width="7.00390625" style="32" customWidth="1"/>
    <col min="6" max="6" width="6.00390625" style="32" customWidth="1"/>
    <col min="7" max="7" width="7.25390625" style="32" customWidth="1"/>
    <col min="8" max="8" width="7.75390625" style="32" customWidth="1"/>
    <col min="9" max="11" width="6.75390625" style="32" customWidth="1"/>
    <col min="12" max="13" width="5.75390625" style="32" customWidth="1"/>
    <col min="14" max="22" width="5.50390625" style="32" customWidth="1"/>
    <col min="23" max="23" width="6.25390625" style="3" customWidth="1"/>
    <col min="24" max="24" width="9.00390625" style="3" customWidth="1"/>
    <col min="25" max="25" width="9.375" style="3" bestFit="1" customWidth="1"/>
    <col min="26" max="16384" width="9.00390625" style="3" customWidth="1"/>
  </cols>
  <sheetData>
    <row r="1" spans="1:23" ht="23.25">
      <c r="A1" s="345" t="s">
        <v>205</v>
      </c>
      <c r="B1" s="346"/>
      <c r="C1" s="346"/>
      <c r="D1" s="346"/>
      <c r="E1" s="346"/>
      <c r="F1" s="346"/>
      <c r="G1" s="346"/>
      <c r="H1" s="346"/>
      <c r="I1" s="346"/>
      <c r="J1" s="346"/>
      <c r="K1" s="346"/>
      <c r="L1" s="346"/>
      <c r="M1" s="346"/>
      <c r="N1" s="346"/>
      <c r="O1" s="346"/>
      <c r="P1" s="346"/>
      <c r="Q1" s="346"/>
      <c r="R1" s="346"/>
      <c r="S1" s="346"/>
      <c r="T1" s="346"/>
      <c r="U1" s="346"/>
      <c r="V1" s="346"/>
      <c r="W1" s="346"/>
    </row>
    <row r="2" spans="1:23" ht="20.25" customHeight="1">
      <c r="A2" s="361" t="s">
        <v>206</v>
      </c>
      <c r="B2" s="362"/>
      <c r="C2" s="355" t="s">
        <v>207</v>
      </c>
      <c r="D2" s="358" t="s">
        <v>208</v>
      </c>
      <c r="E2" s="347" t="s">
        <v>209</v>
      </c>
      <c r="F2" s="348"/>
      <c r="G2" s="348"/>
      <c r="H2" s="348"/>
      <c r="I2" s="347" t="s">
        <v>210</v>
      </c>
      <c r="J2" s="348"/>
      <c r="K2" s="348"/>
      <c r="L2" s="349" t="s">
        <v>211</v>
      </c>
      <c r="M2" s="350"/>
      <c r="N2" s="349" t="s">
        <v>212</v>
      </c>
      <c r="O2" s="351"/>
      <c r="P2" s="351"/>
      <c r="Q2" s="351"/>
      <c r="R2" s="351"/>
      <c r="S2" s="350"/>
      <c r="T2" s="352" t="s">
        <v>213</v>
      </c>
      <c r="U2" s="350"/>
      <c r="V2" s="358" t="s">
        <v>214</v>
      </c>
      <c r="W2" s="355" t="s">
        <v>175</v>
      </c>
    </row>
    <row r="3" spans="1:23" s="32" customFormat="1" ht="33" customHeight="1">
      <c r="A3" s="363"/>
      <c r="B3" s="364"/>
      <c r="C3" s="356"/>
      <c r="D3" s="359"/>
      <c r="E3" s="200" t="s">
        <v>215</v>
      </c>
      <c r="F3" s="200" t="s">
        <v>216</v>
      </c>
      <c r="G3" s="200" t="s">
        <v>217</v>
      </c>
      <c r="H3" s="197" t="s">
        <v>218</v>
      </c>
      <c r="I3" s="200" t="s">
        <v>215</v>
      </c>
      <c r="J3" s="200" t="s">
        <v>217</v>
      </c>
      <c r="K3" s="197" t="s">
        <v>218</v>
      </c>
      <c r="L3" s="200" t="s">
        <v>215</v>
      </c>
      <c r="M3" s="197" t="s">
        <v>219</v>
      </c>
      <c r="N3" s="197" t="s">
        <v>220</v>
      </c>
      <c r="O3" s="200" t="s">
        <v>217</v>
      </c>
      <c r="P3" s="200" t="s">
        <v>216</v>
      </c>
      <c r="Q3" s="200" t="s">
        <v>221</v>
      </c>
      <c r="R3" s="197" t="s">
        <v>222</v>
      </c>
      <c r="S3" s="197" t="s">
        <v>223</v>
      </c>
      <c r="T3" s="197" t="s">
        <v>224</v>
      </c>
      <c r="U3" s="197" t="s">
        <v>225</v>
      </c>
      <c r="V3" s="359"/>
      <c r="W3" s="356"/>
    </row>
    <row r="4" spans="1:23" s="32" customFormat="1" ht="15" customHeight="1">
      <c r="A4" s="365"/>
      <c r="B4" s="366"/>
      <c r="C4" s="357"/>
      <c r="D4" s="360"/>
      <c r="E4" s="185" t="s">
        <v>226</v>
      </c>
      <c r="F4" s="185" t="s">
        <v>227</v>
      </c>
      <c r="G4" s="185" t="s">
        <v>227</v>
      </c>
      <c r="H4" s="185" t="s">
        <v>226</v>
      </c>
      <c r="I4" s="185" t="s">
        <v>226</v>
      </c>
      <c r="J4" s="185" t="s">
        <v>227</v>
      </c>
      <c r="K4" s="185" t="s">
        <v>226</v>
      </c>
      <c r="L4" s="185" t="s">
        <v>226</v>
      </c>
      <c r="M4" s="185" t="s">
        <v>226</v>
      </c>
      <c r="N4" s="185" t="s">
        <v>226</v>
      </c>
      <c r="O4" s="185" t="s">
        <v>227</v>
      </c>
      <c r="P4" s="185" t="s">
        <v>227</v>
      </c>
      <c r="Q4" s="185" t="s">
        <v>51</v>
      </c>
      <c r="R4" s="185" t="s">
        <v>226</v>
      </c>
      <c r="S4" s="185" t="s">
        <v>226</v>
      </c>
      <c r="T4" s="185" t="s">
        <v>226</v>
      </c>
      <c r="U4" s="185" t="s">
        <v>226</v>
      </c>
      <c r="V4" s="185" t="s">
        <v>227</v>
      </c>
      <c r="W4" s="357"/>
    </row>
    <row r="5" spans="1:23" ht="19.5" customHeight="1">
      <c r="A5" s="201">
        <v>34300</v>
      </c>
      <c r="B5" s="201">
        <v>34335</v>
      </c>
      <c r="C5" s="187" t="s">
        <v>228</v>
      </c>
      <c r="D5" s="202">
        <f>B5-A5</f>
        <v>35</v>
      </c>
      <c r="E5" s="202">
        <f>D5*0.3</f>
        <v>10.5</v>
      </c>
      <c r="F5" s="202"/>
      <c r="G5" s="202">
        <f>D5</f>
        <v>35</v>
      </c>
      <c r="H5" s="202">
        <f>D5*0.3</f>
        <v>10.5</v>
      </c>
      <c r="I5" s="203">
        <f>0.385*D5</f>
        <v>13.475</v>
      </c>
      <c r="J5" s="202"/>
      <c r="K5" s="203">
        <f>I5</f>
        <v>13.475</v>
      </c>
      <c r="L5" s="202"/>
      <c r="M5" s="202"/>
      <c r="N5" s="202"/>
      <c r="O5" s="202"/>
      <c r="P5" s="202"/>
      <c r="Q5" s="202"/>
      <c r="R5" s="202"/>
      <c r="S5" s="202"/>
      <c r="T5" s="202"/>
      <c r="U5" s="202"/>
      <c r="V5" s="202"/>
      <c r="W5" s="205"/>
    </row>
    <row r="6" spans="1:23" ht="19.5" customHeight="1">
      <c r="A6" s="201">
        <v>34335</v>
      </c>
      <c r="B6" s="201">
        <v>34345</v>
      </c>
      <c r="C6" s="187" t="s">
        <v>228</v>
      </c>
      <c r="D6" s="202">
        <f aca="true" t="shared" si="0" ref="D6:D23">B6-A6</f>
        <v>10</v>
      </c>
      <c r="E6" s="202">
        <v>24</v>
      </c>
      <c r="F6" s="202"/>
      <c r="G6" s="202">
        <v>80</v>
      </c>
      <c r="H6" s="202">
        <v>24</v>
      </c>
      <c r="I6" s="202">
        <v>3.85</v>
      </c>
      <c r="J6" s="202"/>
      <c r="K6" s="202">
        <v>3.85</v>
      </c>
      <c r="L6" s="202"/>
      <c r="M6" s="202"/>
      <c r="N6" s="202"/>
      <c r="O6" s="202"/>
      <c r="P6" s="202"/>
      <c r="Q6" s="202"/>
      <c r="R6" s="202"/>
      <c r="S6" s="202"/>
      <c r="T6" s="202"/>
      <c r="U6" s="202"/>
      <c r="V6" s="202"/>
      <c r="W6" s="205"/>
    </row>
    <row r="7" spans="1:23" ht="19.5" customHeight="1">
      <c r="A7" s="201">
        <v>34345</v>
      </c>
      <c r="B7" s="201">
        <v>34400</v>
      </c>
      <c r="C7" s="187" t="s">
        <v>228</v>
      </c>
      <c r="D7" s="202">
        <f t="shared" si="0"/>
        <v>55</v>
      </c>
      <c r="E7" s="202">
        <v>90.75</v>
      </c>
      <c r="F7" s="202"/>
      <c r="G7" s="202">
        <v>302.5</v>
      </c>
      <c r="H7" s="202">
        <v>90.75</v>
      </c>
      <c r="I7" s="202"/>
      <c r="J7" s="202"/>
      <c r="K7" s="202"/>
      <c r="L7" s="202"/>
      <c r="M7" s="202"/>
      <c r="N7" s="202"/>
      <c r="O7" s="202"/>
      <c r="P7" s="202"/>
      <c r="Q7" s="202"/>
      <c r="R7" s="202"/>
      <c r="S7" s="202"/>
      <c r="T7" s="202"/>
      <c r="U7" s="202"/>
      <c r="V7" s="202"/>
      <c r="W7" s="205"/>
    </row>
    <row r="8" spans="1:23" ht="19.5" customHeight="1">
      <c r="A8" s="201">
        <v>34400</v>
      </c>
      <c r="B8" s="201">
        <v>34432.48</v>
      </c>
      <c r="C8" s="187" t="s">
        <v>228</v>
      </c>
      <c r="D8" s="202">
        <f t="shared" si="0"/>
        <v>32.4800000000032</v>
      </c>
      <c r="E8" s="202">
        <v>73.08</v>
      </c>
      <c r="F8" s="202"/>
      <c r="G8" s="202">
        <v>243.6</v>
      </c>
      <c r="H8" s="202">
        <v>73.08</v>
      </c>
      <c r="I8" s="202"/>
      <c r="J8" s="202"/>
      <c r="K8" s="202"/>
      <c r="L8" s="202"/>
      <c r="M8" s="202"/>
      <c r="N8" s="202"/>
      <c r="O8" s="202"/>
      <c r="P8" s="202"/>
      <c r="Q8" s="202"/>
      <c r="R8" s="202"/>
      <c r="S8" s="202"/>
      <c r="T8" s="202"/>
      <c r="U8" s="202"/>
      <c r="V8" s="202"/>
      <c r="W8" s="205"/>
    </row>
    <row r="9" spans="1:23" ht="19.5" customHeight="1">
      <c r="A9" s="201">
        <v>34457.52</v>
      </c>
      <c r="B9" s="201">
        <v>34710</v>
      </c>
      <c r="C9" s="187" t="s">
        <v>228</v>
      </c>
      <c r="D9" s="202">
        <f t="shared" si="0"/>
        <v>252.4800000000032</v>
      </c>
      <c r="E9" s="202">
        <v>320.6</v>
      </c>
      <c r="F9" s="202"/>
      <c r="G9" s="202">
        <v>1068.66</v>
      </c>
      <c r="H9" s="202">
        <v>320.6</v>
      </c>
      <c r="I9" s="202">
        <v>91.43</v>
      </c>
      <c r="J9" s="202"/>
      <c r="K9" s="202">
        <v>91.43</v>
      </c>
      <c r="L9" s="202"/>
      <c r="M9" s="202"/>
      <c r="N9" s="202"/>
      <c r="O9" s="202"/>
      <c r="P9" s="202"/>
      <c r="Q9" s="202"/>
      <c r="R9" s="202"/>
      <c r="S9" s="202"/>
      <c r="T9" s="202"/>
      <c r="U9" s="202"/>
      <c r="V9" s="202"/>
      <c r="W9" s="205"/>
    </row>
    <row r="10" spans="1:23" ht="19.5" customHeight="1">
      <c r="A10" s="201">
        <v>34710</v>
      </c>
      <c r="B10" s="201">
        <v>34790</v>
      </c>
      <c r="C10" s="187" t="s">
        <v>228</v>
      </c>
      <c r="D10" s="202">
        <f t="shared" si="0"/>
        <v>80</v>
      </c>
      <c r="E10" s="202">
        <v>144</v>
      </c>
      <c r="F10" s="202"/>
      <c r="G10" s="202">
        <v>480</v>
      </c>
      <c r="H10" s="202">
        <v>144</v>
      </c>
      <c r="I10" s="202"/>
      <c r="J10" s="202"/>
      <c r="K10" s="202"/>
      <c r="L10" s="202"/>
      <c r="M10" s="202"/>
      <c r="N10" s="202"/>
      <c r="O10" s="202"/>
      <c r="P10" s="202"/>
      <c r="Q10" s="202"/>
      <c r="R10" s="202"/>
      <c r="S10" s="202"/>
      <c r="T10" s="202"/>
      <c r="U10" s="202"/>
      <c r="V10" s="202"/>
      <c r="W10" s="205"/>
    </row>
    <row r="11" spans="1:23" ht="19.5" customHeight="1">
      <c r="A11" s="201">
        <v>34790</v>
      </c>
      <c r="B11" s="201">
        <v>34870</v>
      </c>
      <c r="C11" s="187" t="s">
        <v>228</v>
      </c>
      <c r="D11" s="202">
        <f t="shared" si="0"/>
        <v>80</v>
      </c>
      <c r="E11" s="202">
        <v>33.75</v>
      </c>
      <c r="F11" s="202"/>
      <c r="G11" s="202">
        <v>112.5</v>
      </c>
      <c r="H11" s="202">
        <v>33.75</v>
      </c>
      <c r="I11" s="202">
        <v>28.88</v>
      </c>
      <c r="J11" s="202"/>
      <c r="K11" s="202">
        <v>28.88</v>
      </c>
      <c r="L11" s="202"/>
      <c r="M11" s="202"/>
      <c r="N11" s="202"/>
      <c r="O11" s="202"/>
      <c r="P11" s="202"/>
      <c r="Q11" s="202"/>
      <c r="R11" s="202"/>
      <c r="S11" s="202"/>
      <c r="T11" s="202"/>
      <c r="U11" s="202"/>
      <c r="V11" s="202"/>
      <c r="W11" s="205"/>
    </row>
    <row r="12" spans="1:23" ht="19.5" customHeight="1">
      <c r="A12" s="201">
        <v>34870</v>
      </c>
      <c r="B12" s="201">
        <v>35030</v>
      </c>
      <c r="C12" s="187" t="s">
        <v>228</v>
      </c>
      <c r="D12" s="202">
        <f t="shared" si="0"/>
        <v>160</v>
      </c>
      <c r="E12" s="202"/>
      <c r="F12" s="202"/>
      <c r="G12" s="202"/>
      <c r="H12" s="202"/>
      <c r="I12" s="202">
        <v>59.85</v>
      </c>
      <c r="J12" s="202">
        <v>63</v>
      </c>
      <c r="K12" s="202">
        <v>37.8</v>
      </c>
      <c r="L12" s="202"/>
      <c r="M12" s="202"/>
      <c r="N12" s="202"/>
      <c r="O12" s="202"/>
      <c r="P12" s="202"/>
      <c r="Q12" s="202"/>
      <c r="R12" s="202"/>
      <c r="S12" s="202"/>
      <c r="T12" s="202"/>
      <c r="U12" s="202"/>
      <c r="V12" s="202"/>
      <c r="W12" s="205"/>
    </row>
    <row r="13" spans="1:23" ht="19.5" customHeight="1">
      <c r="A13" s="201">
        <v>35030</v>
      </c>
      <c r="B13" s="201">
        <v>35420</v>
      </c>
      <c r="C13" s="187" t="s">
        <v>228</v>
      </c>
      <c r="D13" s="202">
        <f t="shared" si="0"/>
        <v>390</v>
      </c>
      <c r="E13" s="203">
        <f>(606/420)*390</f>
        <v>562.7142857142857</v>
      </c>
      <c r="F13" s="203">
        <f>(202/420)*390</f>
        <v>187.57142857142858</v>
      </c>
      <c r="G13" s="203">
        <f>(1038.28/420)*390</f>
        <v>964.1171428571429</v>
      </c>
      <c r="H13" s="203">
        <f>(343.4/420)*390</f>
        <v>318.87142857142857</v>
      </c>
      <c r="I13" s="202">
        <f>0.6*374</f>
        <v>224.4</v>
      </c>
      <c r="J13" s="202">
        <f>0.7*374</f>
        <v>261.8</v>
      </c>
      <c r="K13" s="202">
        <f>0.325*374</f>
        <v>121.55</v>
      </c>
      <c r="L13" s="202"/>
      <c r="M13" s="202"/>
      <c r="N13" s="202"/>
      <c r="O13" s="202"/>
      <c r="P13" s="202"/>
      <c r="Q13" s="202"/>
      <c r="R13" s="202"/>
      <c r="S13" s="202"/>
      <c r="T13" s="202"/>
      <c r="U13" s="202"/>
      <c r="V13" s="202"/>
      <c r="W13" s="205"/>
    </row>
    <row r="14" spans="1:23" ht="19.5" customHeight="1">
      <c r="A14" s="201">
        <v>34300</v>
      </c>
      <c r="B14" s="201">
        <v>34420</v>
      </c>
      <c r="C14" s="187" t="s">
        <v>229</v>
      </c>
      <c r="D14" s="202">
        <f t="shared" si="0"/>
        <v>120</v>
      </c>
      <c r="E14" s="203">
        <f>D14*0.268</f>
        <v>32.160000000000004</v>
      </c>
      <c r="F14" s="203"/>
      <c r="G14" s="203">
        <f>0.89333*D14</f>
        <v>107.19959999999999</v>
      </c>
      <c r="H14" s="203">
        <f>E14</f>
        <v>32.160000000000004</v>
      </c>
      <c r="I14" s="203">
        <f>D14*0.343933</f>
        <v>41.27196</v>
      </c>
      <c r="J14" s="203"/>
      <c r="K14" s="203">
        <f>I14</f>
        <v>41.27196</v>
      </c>
      <c r="L14" s="202"/>
      <c r="M14" s="202"/>
      <c r="N14" s="202"/>
      <c r="O14" s="202"/>
      <c r="P14" s="202"/>
      <c r="Q14" s="202"/>
      <c r="R14" s="202"/>
      <c r="S14" s="202"/>
      <c r="T14" s="202"/>
      <c r="U14" s="202"/>
      <c r="V14" s="202"/>
      <c r="W14" s="205"/>
    </row>
    <row r="15" spans="1:23" ht="19.5" customHeight="1">
      <c r="A15" s="201">
        <v>34420</v>
      </c>
      <c r="B15" s="201">
        <v>34432.48</v>
      </c>
      <c r="C15" s="187" t="s">
        <v>229</v>
      </c>
      <c r="D15" s="202">
        <f t="shared" si="0"/>
        <v>12.480000000003201</v>
      </c>
      <c r="E15" s="202">
        <v>29.95</v>
      </c>
      <c r="F15" s="202"/>
      <c r="G15" s="202">
        <v>99.84</v>
      </c>
      <c r="H15" s="202">
        <v>29.95</v>
      </c>
      <c r="I15" s="202"/>
      <c r="J15" s="202"/>
      <c r="K15" s="202"/>
      <c r="L15" s="202"/>
      <c r="M15" s="202"/>
      <c r="N15" s="202"/>
      <c r="O15" s="202"/>
      <c r="P15" s="202"/>
      <c r="Q15" s="202"/>
      <c r="R15" s="202"/>
      <c r="S15" s="202"/>
      <c r="T15" s="202"/>
      <c r="U15" s="202"/>
      <c r="V15" s="202"/>
      <c r="W15" s="205"/>
    </row>
    <row r="16" spans="1:23" ht="19.5" customHeight="1">
      <c r="A16" s="201">
        <v>34457.52</v>
      </c>
      <c r="B16" s="201">
        <v>34490</v>
      </c>
      <c r="C16" s="187" t="s">
        <v>229</v>
      </c>
      <c r="D16" s="202">
        <f t="shared" si="0"/>
        <v>32.4800000000032</v>
      </c>
      <c r="E16" s="202">
        <v>85.75</v>
      </c>
      <c r="F16" s="202"/>
      <c r="G16" s="202">
        <v>285.82</v>
      </c>
      <c r="H16" s="202">
        <v>85.75</v>
      </c>
      <c r="I16" s="202">
        <v>12.5</v>
      </c>
      <c r="J16" s="202"/>
      <c r="K16" s="202">
        <v>12.5</v>
      </c>
      <c r="L16" s="202"/>
      <c r="M16" s="202"/>
      <c r="N16" s="202"/>
      <c r="O16" s="202"/>
      <c r="P16" s="202"/>
      <c r="Q16" s="202"/>
      <c r="R16" s="202"/>
      <c r="S16" s="202"/>
      <c r="T16" s="202"/>
      <c r="U16" s="202"/>
      <c r="V16" s="202"/>
      <c r="W16" s="205"/>
    </row>
    <row r="17" spans="1:23" ht="19.5" customHeight="1">
      <c r="A17" s="201">
        <v>34490</v>
      </c>
      <c r="B17" s="201">
        <v>34880</v>
      </c>
      <c r="C17" s="187" t="s">
        <v>229</v>
      </c>
      <c r="D17" s="202">
        <f t="shared" si="0"/>
        <v>390</v>
      </c>
      <c r="E17" s="202">
        <v>280.8</v>
      </c>
      <c r="F17" s="202"/>
      <c r="G17" s="202">
        <v>936</v>
      </c>
      <c r="H17" s="202">
        <v>280.8</v>
      </c>
      <c r="I17" s="202">
        <v>150.15</v>
      </c>
      <c r="J17" s="202"/>
      <c r="K17" s="202">
        <v>150.15</v>
      </c>
      <c r="L17" s="202"/>
      <c r="M17" s="202"/>
      <c r="N17" s="202"/>
      <c r="O17" s="202"/>
      <c r="P17" s="202"/>
      <c r="Q17" s="202"/>
      <c r="R17" s="202"/>
      <c r="S17" s="202"/>
      <c r="T17" s="202"/>
      <c r="U17" s="202"/>
      <c r="V17" s="202"/>
      <c r="W17" s="205"/>
    </row>
    <row r="18" spans="1:23" ht="19.5" customHeight="1">
      <c r="A18" s="201">
        <v>35030</v>
      </c>
      <c r="B18" s="201">
        <v>35420</v>
      </c>
      <c r="C18" s="187" t="s">
        <v>229</v>
      </c>
      <c r="D18" s="202">
        <f t="shared" si="0"/>
        <v>390</v>
      </c>
      <c r="E18" s="202"/>
      <c r="F18" s="202"/>
      <c r="G18" s="202"/>
      <c r="H18" s="202"/>
      <c r="I18" s="202">
        <f>0.6*379</f>
        <v>227.4</v>
      </c>
      <c r="J18" s="202">
        <f>0.7*379</f>
        <v>265.3</v>
      </c>
      <c r="K18" s="202">
        <f>0.325*379</f>
        <v>123.175</v>
      </c>
      <c r="L18" s="202"/>
      <c r="M18" s="202"/>
      <c r="N18" s="202"/>
      <c r="O18" s="202"/>
      <c r="P18" s="202"/>
      <c r="Q18" s="202"/>
      <c r="R18" s="202"/>
      <c r="S18" s="202"/>
      <c r="T18" s="202"/>
      <c r="U18" s="202"/>
      <c r="V18" s="202"/>
      <c r="W18" s="205"/>
    </row>
    <row r="19" spans="1:23" ht="19.5" customHeight="1">
      <c r="A19" s="201">
        <v>34345</v>
      </c>
      <c r="B19" s="201">
        <v>34400</v>
      </c>
      <c r="C19" s="187" t="s">
        <v>228</v>
      </c>
      <c r="D19" s="202">
        <f t="shared" si="0"/>
        <v>55</v>
      </c>
      <c r="E19" s="202"/>
      <c r="F19" s="202"/>
      <c r="G19" s="202"/>
      <c r="H19" s="202"/>
      <c r="I19" s="202"/>
      <c r="J19" s="202"/>
      <c r="K19" s="202"/>
      <c r="L19" s="202">
        <v>3.1</v>
      </c>
      <c r="M19" s="202">
        <v>0.7</v>
      </c>
      <c r="N19" s="202">
        <v>391.44</v>
      </c>
      <c r="O19" s="202">
        <v>237.16</v>
      </c>
      <c r="P19" s="202">
        <v>90.75</v>
      </c>
      <c r="Q19" s="202">
        <v>42.5</v>
      </c>
      <c r="R19" s="202">
        <v>2.5</v>
      </c>
      <c r="S19" s="202">
        <v>117</v>
      </c>
      <c r="T19" s="202">
        <v>205.7</v>
      </c>
      <c r="U19" s="202">
        <v>205.7</v>
      </c>
      <c r="V19" s="202"/>
      <c r="W19" s="205"/>
    </row>
    <row r="20" spans="1:23" ht="19.5" customHeight="1">
      <c r="A20" s="201">
        <v>34400</v>
      </c>
      <c r="B20" s="201">
        <v>34432.5</v>
      </c>
      <c r="C20" s="187" t="s">
        <v>228</v>
      </c>
      <c r="D20" s="202">
        <f t="shared" si="0"/>
        <v>32.5</v>
      </c>
      <c r="E20" s="202"/>
      <c r="F20" s="202"/>
      <c r="G20" s="202"/>
      <c r="H20" s="202"/>
      <c r="I20" s="202"/>
      <c r="J20" s="202"/>
      <c r="K20" s="202"/>
      <c r="L20" s="202">
        <v>10.4</v>
      </c>
      <c r="M20" s="202">
        <v>2.7</v>
      </c>
      <c r="N20" s="202">
        <v>504.43</v>
      </c>
      <c r="O20" s="202">
        <v>220.22</v>
      </c>
      <c r="P20" s="202">
        <v>78.65</v>
      </c>
      <c r="Q20" s="202">
        <v>35.1</v>
      </c>
      <c r="R20" s="202">
        <v>1.5</v>
      </c>
      <c r="S20" s="202">
        <v>102</v>
      </c>
      <c r="T20" s="202">
        <v>121.6</v>
      </c>
      <c r="U20" s="202">
        <v>121.6</v>
      </c>
      <c r="V20" s="202"/>
      <c r="W20" s="205"/>
    </row>
    <row r="21" spans="1:23" ht="19.5" customHeight="1">
      <c r="A21" s="201">
        <v>34420</v>
      </c>
      <c r="B21" s="201">
        <v>34432.5</v>
      </c>
      <c r="C21" s="187" t="s">
        <v>229</v>
      </c>
      <c r="D21" s="202">
        <f t="shared" si="0"/>
        <v>12.5</v>
      </c>
      <c r="E21" s="202"/>
      <c r="F21" s="202"/>
      <c r="G21" s="202"/>
      <c r="H21" s="202"/>
      <c r="I21" s="202"/>
      <c r="J21" s="202"/>
      <c r="K21" s="202"/>
      <c r="L21" s="202">
        <v>31.1</v>
      </c>
      <c r="M21" s="202">
        <v>8.5</v>
      </c>
      <c r="N21" s="202">
        <v>194.01</v>
      </c>
      <c r="O21" s="202">
        <v>92.4</v>
      </c>
      <c r="P21" s="202">
        <v>30.25</v>
      </c>
      <c r="Q21" s="202">
        <v>15.3</v>
      </c>
      <c r="R21" s="202">
        <v>0.6</v>
      </c>
      <c r="S21" s="202">
        <v>39</v>
      </c>
      <c r="T21" s="202">
        <v>46.8</v>
      </c>
      <c r="U21" s="202">
        <v>46.8</v>
      </c>
      <c r="V21" s="202"/>
      <c r="W21" s="205"/>
    </row>
    <row r="22" spans="1:23" ht="19.5" customHeight="1">
      <c r="A22" s="201">
        <v>35030</v>
      </c>
      <c r="B22" s="201">
        <v>35420</v>
      </c>
      <c r="C22" s="187" t="s">
        <v>228</v>
      </c>
      <c r="D22" s="202">
        <f t="shared" si="0"/>
        <v>390</v>
      </c>
      <c r="E22" s="202"/>
      <c r="F22" s="202"/>
      <c r="G22" s="202"/>
      <c r="H22" s="202"/>
      <c r="I22" s="202"/>
      <c r="J22" s="202"/>
      <c r="K22" s="202"/>
      <c r="L22" s="202"/>
      <c r="M22" s="202"/>
      <c r="N22" s="202"/>
      <c r="O22" s="202"/>
      <c r="P22" s="202"/>
      <c r="Q22" s="202"/>
      <c r="R22" s="202"/>
      <c r="S22" s="202"/>
      <c r="T22" s="202"/>
      <c r="U22" s="202"/>
      <c r="V22" s="202">
        <f>(210/420)*390</f>
        <v>195</v>
      </c>
      <c r="W22" s="205"/>
    </row>
    <row r="23" spans="1:23" ht="19.5" customHeight="1">
      <c r="A23" s="201">
        <v>34880</v>
      </c>
      <c r="B23" s="201">
        <v>35030</v>
      </c>
      <c r="C23" s="187" t="s">
        <v>229</v>
      </c>
      <c r="D23" s="202">
        <f t="shared" si="0"/>
        <v>150</v>
      </c>
      <c r="E23" s="202"/>
      <c r="F23" s="202"/>
      <c r="G23" s="202"/>
      <c r="H23" s="202"/>
      <c r="I23" s="202"/>
      <c r="J23" s="202"/>
      <c r="K23" s="202"/>
      <c r="L23" s="202"/>
      <c r="M23" s="202"/>
      <c r="N23" s="202"/>
      <c r="O23" s="202"/>
      <c r="P23" s="202"/>
      <c r="Q23" s="202"/>
      <c r="R23" s="202"/>
      <c r="S23" s="202"/>
      <c r="T23" s="202"/>
      <c r="U23" s="202"/>
      <c r="V23" s="202">
        <v>45</v>
      </c>
      <c r="W23" s="205"/>
    </row>
    <row r="24" spans="1:23" s="199" customFormat="1" ht="19.5" customHeight="1">
      <c r="A24" s="353" t="s">
        <v>230</v>
      </c>
      <c r="B24" s="354"/>
      <c r="C24" s="194"/>
      <c r="D24" s="204"/>
      <c r="E24" s="204">
        <f aca="true" t="shared" si="1" ref="E24:V24">SUM(E5:E23)</f>
        <v>1688.0542857142857</v>
      </c>
      <c r="F24" s="204">
        <f t="shared" si="1"/>
        <v>187.57142857142858</v>
      </c>
      <c r="G24" s="204">
        <f t="shared" si="1"/>
        <v>4715.236742857143</v>
      </c>
      <c r="H24" s="204">
        <f t="shared" si="1"/>
        <v>1444.2114285714288</v>
      </c>
      <c r="I24" s="204">
        <f t="shared" si="1"/>
        <v>853.20696</v>
      </c>
      <c r="J24" s="204">
        <f t="shared" si="1"/>
        <v>590.1</v>
      </c>
      <c r="K24" s="204">
        <f t="shared" si="1"/>
        <v>624.08196</v>
      </c>
      <c r="L24" s="204">
        <f t="shared" si="1"/>
        <v>44.6</v>
      </c>
      <c r="M24" s="204">
        <f t="shared" si="1"/>
        <v>11.9</v>
      </c>
      <c r="N24" s="204">
        <f t="shared" si="1"/>
        <v>1089.88</v>
      </c>
      <c r="O24" s="204">
        <f t="shared" si="1"/>
        <v>549.78</v>
      </c>
      <c r="P24" s="204">
        <f t="shared" si="1"/>
        <v>199.65</v>
      </c>
      <c r="Q24" s="204">
        <f t="shared" si="1"/>
        <v>92.89999999999999</v>
      </c>
      <c r="R24" s="204">
        <f t="shared" si="1"/>
        <v>4.6</v>
      </c>
      <c r="S24" s="204">
        <f t="shared" si="1"/>
        <v>258</v>
      </c>
      <c r="T24" s="204">
        <f t="shared" si="1"/>
        <v>374.09999999999997</v>
      </c>
      <c r="U24" s="204">
        <f t="shared" si="1"/>
        <v>374.09999999999997</v>
      </c>
      <c r="V24" s="204">
        <f t="shared" si="1"/>
        <v>240</v>
      </c>
      <c r="W24" s="204"/>
    </row>
    <row r="25" spans="1:3" ht="11.25" customHeight="1">
      <c r="A25" s="195"/>
      <c r="B25" s="195"/>
      <c r="C25" s="195"/>
    </row>
    <row r="26" spans="1:3" ht="11.25" customHeight="1">
      <c r="A26" s="195"/>
      <c r="B26" s="195"/>
      <c r="C26" s="195"/>
    </row>
    <row r="27" spans="1:3" ht="11.25" customHeight="1">
      <c r="A27" s="195"/>
      <c r="B27" s="195"/>
      <c r="C27" s="195"/>
    </row>
    <row r="28" spans="1:3" ht="11.25" customHeight="1">
      <c r="A28" s="195"/>
      <c r="B28" s="195"/>
      <c r="C28" s="195"/>
    </row>
    <row r="29" spans="1:3" ht="11.25" customHeight="1">
      <c r="A29" s="195"/>
      <c r="B29" s="195"/>
      <c r="C29" s="195"/>
    </row>
    <row r="30" spans="1:5" ht="18.75" customHeight="1">
      <c r="A30" s="195"/>
      <c r="B30" s="195"/>
      <c r="C30" s="195"/>
      <c r="E30" s="196"/>
    </row>
  </sheetData>
  <sheetProtection/>
  <mergeCells count="12">
    <mergeCell ref="A24:B24"/>
    <mergeCell ref="C2:C4"/>
    <mergeCell ref="D2:D4"/>
    <mergeCell ref="V2:V3"/>
    <mergeCell ref="W2:W4"/>
    <mergeCell ref="A2:B4"/>
    <mergeCell ref="A1:W1"/>
    <mergeCell ref="E2:H2"/>
    <mergeCell ref="I2:K2"/>
    <mergeCell ref="L2:M2"/>
    <mergeCell ref="N2:S2"/>
    <mergeCell ref="T2:U2"/>
  </mergeCells>
  <printOptions/>
  <pageMargins left="0.39" right="0.39" top="0.79" bottom="1.02" header="0.51" footer="0.79"/>
  <pageSetup horizontalDpi="600" verticalDpi="600" orientation="landscape" paperSize="9" scale="90"/>
  <headerFooter alignWithMargins="0">
    <oddFooter>&amp;L施工单位：&amp;C监理单位：                                代建单位：</oddFooter>
  </headerFooter>
</worksheet>
</file>

<file path=xl/worksheets/sheet6.xml><?xml version="1.0" encoding="utf-8"?>
<worksheet xmlns="http://schemas.openxmlformats.org/spreadsheetml/2006/main" xmlns:r="http://schemas.openxmlformats.org/officeDocument/2006/relationships">
  <sheetPr>
    <tabColor indexed="49"/>
  </sheetPr>
  <dimension ref="A1:Z48"/>
  <sheetViews>
    <sheetView zoomScalePageLayoutView="0" workbookViewId="0" topLeftCell="A1">
      <pane xSplit="3" ySplit="4" topLeftCell="D11" activePane="bottomRight" state="frozen"/>
      <selection pane="topLeft" activeCell="A1" sqref="A1"/>
      <selection pane="topRight" activeCell="A1" sqref="A1"/>
      <selection pane="bottomLeft" activeCell="A1" sqref="A1"/>
      <selection pane="bottomRight" activeCell="S48" sqref="S48"/>
    </sheetView>
  </sheetViews>
  <sheetFormatPr defaultColWidth="9.00390625" defaultRowHeight="14.25"/>
  <cols>
    <col min="1" max="1" width="6.875" style="32" customWidth="1"/>
    <col min="2" max="2" width="7.125" style="32" customWidth="1"/>
    <col min="3" max="25" width="4.75390625" style="32" customWidth="1"/>
    <col min="26" max="26" width="6.75390625" style="3" customWidth="1"/>
    <col min="27" max="16384" width="9.00390625" style="3" customWidth="1"/>
  </cols>
  <sheetData>
    <row r="1" spans="1:26" ht="23.25">
      <c r="A1" s="345" t="s">
        <v>231</v>
      </c>
      <c r="B1" s="346"/>
      <c r="C1" s="346"/>
      <c r="D1" s="346"/>
      <c r="E1" s="346"/>
      <c r="F1" s="346"/>
      <c r="G1" s="346"/>
      <c r="H1" s="346"/>
      <c r="I1" s="346"/>
      <c r="J1" s="346"/>
      <c r="K1" s="346"/>
      <c r="L1" s="346"/>
      <c r="M1" s="346"/>
      <c r="N1" s="346"/>
      <c r="O1" s="346"/>
      <c r="P1" s="346"/>
      <c r="Q1" s="346"/>
      <c r="R1" s="346"/>
      <c r="S1" s="346"/>
      <c r="T1" s="346"/>
      <c r="U1" s="346"/>
      <c r="V1" s="346"/>
      <c r="W1" s="346"/>
      <c r="X1" s="346"/>
      <c r="Y1" s="346"/>
      <c r="Z1" s="346"/>
    </row>
    <row r="2" spans="1:26" s="180" customFormat="1" ht="18" customHeight="1">
      <c r="A2" s="361" t="s">
        <v>206</v>
      </c>
      <c r="B2" s="362"/>
      <c r="C2" s="355" t="s">
        <v>207</v>
      </c>
      <c r="D2" s="367" t="s">
        <v>232</v>
      </c>
      <c r="E2" s="368"/>
      <c r="F2" s="368"/>
      <c r="G2" s="368"/>
      <c r="H2" s="368"/>
      <c r="I2" s="368"/>
      <c r="J2" s="368"/>
      <c r="K2" s="369"/>
      <c r="L2" s="370" t="s">
        <v>233</v>
      </c>
      <c r="M2" s="371"/>
      <c r="N2" s="371"/>
      <c r="O2" s="371"/>
      <c r="P2" s="371"/>
      <c r="Q2" s="358" t="s">
        <v>234</v>
      </c>
      <c r="R2" s="372" t="s">
        <v>235</v>
      </c>
      <c r="S2" s="373"/>
      <c r="T2" s="367" t="s">
        <v>236</v>
      </c>
      <c r="U2" s="368"/>
      <c r="V2" s="368"/>
      <c r="W2" s="369"/>
      <c r="X2" s="367" t="s">
        <v>237</v>
      </c>
      <c r="Y2" s="369"/>
      <c r="Z2" s="355" t="s">
        <v>175</v>
      </c>
    </row>
    <row r="3" spans="1:26" s="32" customFormat="1" ht="48.75" customHeight="1">
      <c r="A3" s="363"/>
      <c r="B3" s="364"/>
      <c r="C3" s="356"/>
      <c r="D3" s="182" t="s">
        <v>238</v>
      </c>
      <c r="E3" s="183" t="s">
        <v>239</v>
      </c>
      <c r="F3" s="183" t="s">
        <v>240</v>
      </c>
      <c r="G3" s="183" t="s">
        <v>241</v>
      </c>
      <c r="H3" s="183" t="s">
        <v>242</v>
      </c>
      <c r="I3" s="182" t="s">
        <v>243</v>
      </c>
      <c r="J3" s="182" t="s">
        <v>244</v>
      </c>
      <c r="K3" s="182" t="s">
        <v>223</v>
      </c>
      <c r="L3" s="182" t="s">
        <v>245</v>
      </c>
      <c r="M3" s="183" t="s">
        <v>215</v>
      </c>
      <c r="N3" s="183" t="s">
        <v>216</v>
      </c>
      <c r="O3" s="183" t="s">
        <v>217</v>
      </c>
      <c r="P3" s="182" t="s">
        <v>218</v>
      </c>
      <c r="Q3" s="360"/>
      <c r="R3" s="183" t="s">
        <v>215</v>
      </c>
      <c r="S3" s="182" t="s">
        <v>218</v>
      </c>
      <c r="T3" s="183" t="s">
        <v>215</v>
      </c>
      <c r="U3" s="183" t="s">
        <v>216</v>
      </c>
      <c r="V3" s="183" t="s">
        <v>217</v>
      </c>
      <c r="W3" s="182" t="s">
        <v>218</v>
      </c>
      <c r="X3" s="183" t="s">
        <v>215</v>
      </c>
      <c r="Y3" s="182" t="s">
        <v>218</v>
      </c>
      <c r="Z3" s="357"/>
    </row>
    <row r="4" spans="1:26" s="32" customFormat="1" ht="19.5" customHeight="1">
      <c r="A4" s="365"/>
      <c r="B4" s="366"/>
      <c r="C4" s="357"/>
      <c r="D4" s="185" t="s">
        <v>51</v>
      </c>
      <c r="E4" s="185" t="s">
        <v>226</v>
      </c>
      <c r="F4" s="185" t="s">
        <v>84</v>
      </c>
      <c r="G4" s="185" t="s">
        <v>84</v>
      </c>
      <c r="H4" s="185" t="s">
        <v>226</v>
      </c>
      <c r="I4" s="185" t="s">
        <v>227</v>
      </c>
      <c r="J4" s="185" t="s">
        <v>227</v>
      </c>
      <c r="K4" s="185" t="s">
        <v>226</v>
      </c>
      <c r="L4" s="185" t="s">
        <v>51</v>
      </c>
      <c r="M4" s="185" t="s">
        <v>226</v>
      </c>
      <c r="N4" s="185" t="s">
        <v>227</v>
      </c>
      <c r="O4" s="185" t="s">
        <v>227</v>
      </c>
      <c r="P4" s="185" t="s">
        <v>226</v>
      </c>
      <c r="Q4" s="185" t="s">
        <v>227</v>
      </c>
      <c r="R4" s="185" t="s">
        <v>226</v>
      </c>
      <c r="S4" s="185" t="s">
        <v>226</v>
      </c>
      <c r="T4" s="185" t="s">
        <v>226</v>
      </c>
      <c r="U4" s="185" t="s">
        <v>227</v>
      </c>
      <c r="V4" s="185" t="s">
        <v>227</v>
      </c>
      <c r="W4" s="185" t="s">
        <v>226</v>
      </c>
      <c r="X4" s="185" t="s">
        <v>226</v>
      </c>
      <c r="Y4" s="185" t="s">
        <v>226</v>
      </c>
      <c r="Z4" s="184"/>
    </row>
    <row r="5" spans="1:26" ht="18.75" customHeight="1">
      <c r="A5" s="186">
        <v>35030</v>
      </c>
      <c r="B5" s="186">
        <v>35420</v>
      </c>
      <c r="C5" s="187" t="s">
        <v>228</v>
      </c>
      <c r="D5" s="188"/>
      <c r="E5" s="188"/>
      <c r="F5" s="188"/>
      <c r="G5" s="188"/>
      <c r="H5" s="188"/>
      <c r="I5" s="188"/>
      <c r="J5" s="188"/>
      <c r="K5" s="188"/>
      <c r="L5" s="188">
        <f>B5-A5</f>
        <v>390</v>
      </c>
      <c r="M5" s="194">
        <f>L5*0.385</f>
        <v>150.15</v>
      </c>
      <c r="N5" s="194">
        <f>0.835*390</f>
        <v>325.65</v>
      </c>
      <c r="O5" s="194">
        <f>0.56*L5</f>
        <v>218.40000000000003</v>
      </c>
      <c r="P5" s="194">
        <f>0.385*L5</f>
        <v>150.15</v>
      </c>
      <c r="Q5" s="194">
        <f>0.665*L5</f>
        <v>259.35</v>
      </c>
      <c r="R5" s="194">
        <f>(0.48/420)*L5</f>
        <v>0.4457142857142857</v>
      </c>
      <c r="S5" s="194">
        <f>(0.72/420)*M5</f>
        <v>0.2574</v>
      </c>
      <c r="T5" s="194"/>
      <c r="U5" s="194"/>
      <c r="V5" s="194"/>
      <c r="W5" s="194"/>
      <c r="X5" s="194"/>
      <c r="Y5" s="194"/>
      <c r="Z5" s="183"/>
    </row>
    <row r="6" spans="1:26" ht="18.75" customHeight="1">
      <c r="A6" s="186">
        <v>34880</v>
      </c>
      <c r="B6" s="186">
        <v>35030</v>
      </c>
      <c r="C6" s="187" t="s">
        <v>229</v>
      </c>
      <c r="D6" s="188"/>
      <c r="E6" s="188"/>
      <c r="F6" s="188"/>
      <c r="G6" s="188"/>
      <c r="H6" s="188"/>
      <c r="I6" s="188"/>
      <c r="J6" s="188"/>
      <c r="K6" s="188"/>
      <c r="L6" s="188">
        <f>B6-A6</f>
        <v>150</v>
      </c>
      <c r="M6" s="194">
        <v>88.73</v>
      </c>
      <c r="N6" s="194">
        <v>115.23</v>
      </c>
      <c r="O6" s="194">
        <v>154.56</v>
      </c>
      <c r="P6" s="194">
        <v>88.73</v>
      </c>
      <c r="Q6" s="194">
        <v>91.77</v>
      </c>
      <c r="R6" s="194">
        <v>1.45</v>
      </c>
      <c r="S6" s="194">
        <v>2.17</v>
      </c>
      <c r="T6" s="194"/>
      <c r="U6" s="194"/>
      <c r="V6" s="194"/>
      <c r="W6" s="194"/>
      <c r="X6" s="194"/>
      <c r="Y6" s="194"/>
      <c r="Z6" s="183"/>
    </row>
    <row r="7" spans="1:26" ht="27" customHeight="1">
      <c r="A7" s="186">
        <v>34880</v>
      </c>
      <c r="B7" s="189" t="s">
        <v>236</v>
      </c>
      <c r="C7" s="187" t="s">
        <v>229</v>
      </c>
      <c r="D7" s="188">
        <v>3</v>
      </c>
      <c r="E7" s="188"/>
      <c r="F7" s="188"/>
      <c r="G7" s="188"/>
      <c r="H7" s="188"/>
      <c r="I7" s="188"/>
      <c r="J7" s="188"/>
      <c r="K7" s="188"/>
      <c r="L7" s="194"/>
      <c r="M7" s="194"/>
      <c r="N7" s="194"/>
      <c r="O7" s="194"/>
      <c r="P7" s="194"/>
      <c r="Q7" s="194"/>
      <c r="R7" s="194"/>
      <c r="S7" s="194"/>
      <c r="T7" s="194">
        <v>1.54</v>
      </c>
      <c r="U7" s="194">
        <v>3.18</v>
      </c>
      <c r="V7" s="194">
        <v>3.35</v>
      </c>
      <c r="W7" s="194">
        <v>2.64</v>
      </c>
      <c r="X7" s="194">
        <v>0.455</v>
      </c>
      <c r="Y7" s="194">
        <v>0.683</v>
      </c>
      <c r="Z7" s="198" t="s">
        <v>246</v>
      </c>
    </row>
    <row r="8" spans="1:26" ht="18.75" customHeight="1">
      <c r="A8" s="190">
        <v>34480</v>
      </c>
      <c r="B8" s="187" t="s">
        <v>247</v>
      </c>
      <c r="C8" s="191" t="s">
        <v>248</v>
      </c>
      <c r="D8" s="192">
        <v>5</v>
      </c>
      <c r="E8" s="192">
        <v>0.69</v>
      </c>
      <c r="F8" s="192">
        <v>18.8</v>
      </c>
      <c r="G8" s="192">
        <v>78.5</v>
      </c>
      <c r="H8" s="192">
        <v>2.76</v>
      </c>
      <c r="I8" s="192">
        <v>1.5</v>
      </c>
      <c r="J8" s="192">
        <v>0.01</v>
      </c>
      <c r="K8" s="192">
        <v>4</v>
      </c>
      <c r="L8" s="194"/>
      <c r="M8" s="194"/>
      <c r="N8" s="194"/>
      <c r="O8" s="194"/>
      <c r="P8" s="194"/>
      <c r="Q8" s="194"/>
      <c r="R8" s="194"/>
      <c r="S8" s="194"/>
      <c r="T8" s="194"/>
      <c r="U8" s="194"/>
      <c r="V8" s="194"/>
      <c r="W8" s="194"/>
      <c r="X8" s="194"/>
      <c r="Y8" s="194"/>
      <c r="Z8" s="183"/>
    </row>
    <row r="9" spans="1:26" ht="18.75" customHeight="1">
      <c r="A9" s="190">
        <v>34490</v>
      </c>
      <c r="B9" s="187" t="s">
        <v>247</v>
      </c>
      <c r="C9" s="191" t="s">
        <v>248</v>
      </c>
      <c r="D9" s="192">
        <v>5</v>
      </c>
      <c r="E9" s="192">
        <v>0.69</v>
      </c>
      <c r="F9" s="192">
        <v>18.8</v>
      </c>
      <c r="G9" s="192">
        <v>78.5</v>
      </c>
      <c r="H9" s="192">
        <v>2.76</v>
      </c>
      <c r="I9" s="192">
        <v>1.5</v>
      </c>
      <c r="J9" s="192">
        <v>0.01</v>
      </c>
      <c r="K9" s="192">
        <v>4</v>
      </c>
      <c r="L9" s="194"/>
      <c r="M9" s="194"/>
      <c r="N9" s="194"/>
      <c r="O9" s="194"/>
      <c r="P9" s="194"/>
      <c r="Q9" s="194"/>
      <c r="R9" s="194"/>
      <c r="S9" s="194"/>
      <c r="T9" s="194"/>
      <c r="U9" s="194"/>
      <c r="V9" s="194"/>
      <c r="W9" s="194"/>
      <c r="X9" s="194"/>
      <c r="Y9" s="194"/>
      <c r="Z9" s="183"/>
    </row>
    <row r="10" spans="1:26" ht="18.75" customHeight="1">
      <c r="A10" s="190">
        <v>34520</v>
      </c>
      <c r="B10" s="187" t="s">
        <v>247</v>
      </c>
      <c r="C10" s="191" t="s">
        <v>248</v>
      </c>
      <c r="D10" s="192">
        <v>5</v>
      </c>
      <c r="E10" s="192">
        <v>0.69</v>
      </c>
      <c r="F10" s="192">
        <v>18.8</v>
      </c>
      <c r="G10" s="192">
        <v>78.5</v>
      </c>
      <c r="H10" s="192">
        <v>2.76</v>
      </c>
      <c r="I10" s="192">
        <v>1.5</v>
      </c>
      <c r="J10" s="192">
        <v>0.01</v>
      </c>
      <c r="K10" s="192">
        <v>4</v>
      </c>
      <c r="L10" s="194"/>
      <c r="M10" s="194"/>
      <c r="N10" s="194"/>
      <c r="O10" s="194"/>
      <c r="P10" s="194"/>
      <c r="Q10" s="194"/>
      <c r="R10" s="194"/>
      <c r="S10" s="194"/>
      <c r="T10" s="194"/>
      <c r="U10" s="194"/>
      <c r="V10" s="194"/>
      <c r="W10" s="194"/>
      <c r="X10" s="194"/>
      <c r="Y10" s="194"/>
      <c r="Z10" s="183"/>
    </row>
    <row r="11" spans="1:26" ht="18.75" customHeight="1">
      <c r="A11" s="190">
        <v>34900</v>
      </c>
      <c r="B11" s="187" t="s">
        <v>247</v>
      </c>
      <c r="C11" s="191" t="s">
        <v>248</v>
      </c>
      <c r="D11" s="192">
        <v>6</v>
      </c>
      <c r="E11" s="192">
        <v>0.83</v>
      </c>
      <c r="F11" s="192">
        <v>22.6</v>
      </c>
      <c r="G11" s="192">
        <v>94.2</v>
      </c>
      <c r="H11" s="192">
        <v>3.31</v>
      </c>
      <c r="I11" s="192">
        <v>1.8</v>
      </c>
      <c r="J11" s="192">
        <v>0.01</v>
      </c>
      <c r="K11" s="192">
        <v>5</v>
      </c>
      <c r="L11" s="194"/>
      <c r="M11" s="194"/>
      <c r="N11" s="194"/>
      <c r="O11" s="194"/>
      <c r="P11" s="194"/>
      <c r="Q11" s="194"/>
      <c r="R11" s="194"/>
      <c r="S11" s="194"/>
      <c r="T11" s="194"/>
      <c r="U11" s="194"/>
      <c r="V11" s="194"/>
      <c r="W11" s="194"/>
      <c r="X11" s="194"/>
      <c r="Y11" s="194"/>
      <c r="Z11" s="183"/>
    </row>
    <row r="12" spans="1:26" ht="18.75" customHeight="1">
      <c r="A12" s="190">
        <v>34910</v>
      </c>
      <c r="B12" s="187" t="s">
        <v>247</v>
      </c>
      <c r="C12" s="191" t="s">
        <v>248</v>
      </c>
      <c r="D12" s="192">
        <v>6</v>
      </c>
      <c r="E12" s="192">
        <v>0.83</v>
      </c>
      <c r="F12" s="192">
        <v>22.6</v>
      </c>
      <c r="G12" s="192">
        <v>94.2</v>
      </c>
      <c r="H12" s="192">
        <v>3.31</v>
      </c>
      <c r="I12" s="192">
        <v>1.8</v>
      </c>
      <c r="J12" s="192">
        <v>0.01</v>
      </c>
      <c r="K12" s="192">
        <v>5</v>
      </c>
      <c r="L12" s="194"/>
      <c r="M12" s="194"/>
      <c r="N12" s="194"/>
      <c r="O12" s="194"/>
      <c r="P12" s="194"/>
      <c r="Q12" s="194"/>
      <c r="R12" s="194"/>
      <c r="S12" s="194"/>
      <c r="T12" s="194"/>
      <c r="U12" s="194"/>
      <c r="V12" s="194"/>
      <c r="W12" s="194"/>
      <c r="X12" s="194"/>
      <c r="Y12" s="194"/>
      <c r="Z12" s="183"/>
    </row>
    <row r="13" spans="1:26" ht="18.75" customHeight="1">
      <c r="A13" s="190">
        <v>34920</v>
      </c>
      <c r="B13" s="187" t="s">
        <v>247</v>
      </c>
      <c r="C13" s="191" t="s">
        <v>248</v>
      </c>
      <c r="D13" s="192">
        <v>6</v>
      </c>
      <c r="E13" s="192">
        <v>0.83</v>
      </c>
      <c r="F13" s="192">
        <v>22.6</v>
      </c>
      <c r="G13" s="192">
        <v>94.2</v>
      </c>
      <c r="H13" s="192">
        <v>3.31</v>
      </c>
      <c r="I13" s="192">
        <v>1.8</v>
      </c>
      <c r="J13" s="192">
        <v>0.01</v>
      </c>
      <c r="K13" s="192">
        <v>5</v>
      </c>
      <c r="L13" s="194"/>
      <c r="M13" s="194"/>
      <c r="N13" s="194"/>
      <c r="O13" s="194"/>
      <c r="P13" s="194"/>
      <c r="Q13" s="194"/>
      <c r="R13" s="194"/>
      <c r="S13" s="194"/>
      <c r="T13" s="194"/>
      <c r="U13" s="194"/>
      <c r="V13" s="194"/>
      <c r="W13" s="194"/>
      <c r="X13" s="194"/>
      <c r="Y13" s="194"/>
      <c r="Z13" s="183"/>
    </row>
    <row r="14" spans="1:26" ht="18.75" customHeight="1">
      <c r="A14" s="190">
        <v>34920</v>
      </c>
      <c r="B14" s="187" t="s">
        <v>247</v>
      </c>
      <c r="C14" s="191" t="s">
        <v>249</v>
      </c>
      <c r="D14" s="192">
        <v>6</v>
      </c>
      <c r="E14" s="192">
        <v>0.83</v>
      </c>
      <c r="F14" s="192">
        <v>22.6</v>
      </c>
      <c r="G14" s="192">
        <v>94.2</v>
      </c>
      <c r="H14" s="192">
        <v>3.31</v>
      </c>
      <c r="I14" s="192">
        <v>1.8</v>
      </c>
      <c r="J14" s="192">
        <v>0.01</v>
      </c>
      <c r="K14" s="192">
        <v>5</v>
      </c>
      <c r="L14" s="194"/>
      <c r="M14" s="194"/>
      <c r="N14" s="194"/>
      <c r="O14" s="194"/>
      <c r="P14" s="194"/>
      <c r="Q14" s="194"/>
      <c r="R14" s="194"/>
      <c r="S14" s="194"/>
      <c r="T14" s="194"/>
      <c r="U14" s="194"/>
      <c r="V14" s="194"/>
      <c r="W14" s="194"/>
      <c r="X14" s="194"/>
      <c r="Y14" s="194"/>
      <c r="Z14" s="183"/>
    </row>
    <row r="15" spans="1:26" ht="18.75" customHeight="1">
      <c r="A15" s="190">
        <v>34930</v>
      </c>
      <c r="B15" s="187" t="s">
        <v>247</v>
      </c>
      <c r="C15" s="191" t="s">
        <v>248</v>
      </c>
      <c r="D15" s="192">
        <v>6</v>
      </c>
      <c r="E15" s="192">
        <v>0.83</v>
      </c>
      <c r="F15" s="192">
        <v>22.6</v>
      </c>
      <c r="G15" s="192">
        <v>94.2</v>
      </c>
      <c r="H15" s="192">
        <v>3.31</v>
      </c>
      <c r="I15" s="192">
        <v>1.8</v>
      </c>
      <c r="J15" s="192">
        <v>0.01</v>
      </c>
      <c r="K15" s="192">
        <v>5</v>
      </c>
      <c r="L15" s="194"/>
      <c r="M15" s="194"/>
      <c r="N15" s="194"/>
      <c r="O15" s="194"/>
      <c r="P15" s="194"/>
      <c r="Q15" s="194"/>
      <c r="R15" s="194"/>
      <c r="S15" s="194"/>
      <c r="T15" s="194"/>
      <c r="U15" s="194"/>
      <c r="V15" s="194"/>
      <c r="W15" s="194"/>
      <c r="X15" s="194"/>
      <c r="Y15" s="194"/>
      <c r="Z15" s="183"/>
    </row>
    <row r="16" spans="1:26" ht="18.75" customHeight="1">
      <c r="A16" s="190">
        <v>34930</v>
      </c>
      <c r="B16" s="187" t="s">
        <v>247</v>
      </c>
      <c r="C16" s="191" t="s">
        <v>249</v>
      </c>
      <c r="D16" s="192">
        <v>6</v>
      </c>
      <c r="E16" s="192">
        <v>0.83</v>
      </c>
      <c r="F16" s="192">
        <v>22.6</v>
      </c>
      <c r="G16" s="192">
        <v>94.2</v>
      </c>
      <c r="H16" s="192">
        <v>3.31</v>
      </c>
      <c r="I16" s="192">
        <v>1.8</v>
      </c>
      <c r="J16" s="192">
        <v>0.01</v>
      </c>
      <c r="K16" s="192">
        <v>5</v>
      </c>
      <c r="L16" s="194"/>
      <c r="M16" s="194"/>
      <c r="N16" s="194"/>
      <c r="O16" s="194"/>
      <c r="P16" s="194"/>
      <c r="Q16" s="194"/>
      <c r="R16" s="194"/>
      <c r="S16" s="194"/>
      <c r="T16" s="194"/>
      <c r="U16" s="194"/>
      <c r="V16" s="194"/>
      <c r="W16" s="194"/>
      <c r="X16" s="194"/>
      <c r="Y16" s="194"/>
      <c r="Z16" s="183"/>
    </row>
    <row r="17" spans="1:26" ht="18.75" customHeight="1">
      <c r="A17" s="190">
        <v>34940</v>
      </c>
      <c r="B17" s="187" t="s">
        <v>247</v>
      </c>
      <c r="C17" s="191" t="s">
        <v>248</v>
      </c>
      <c r="D17" s="192">
        <v>6</v>
      </c>
      <c r="E17" s="192">
        <v>0.83</v>
      </c>
      <c r="F17" s="192">
        <v>22.6</v>
      </c>
      <c r="G17" s="192">
        <v>94.2</v>
      </c>
      <c r="H17" s="192">
        <v>3.31</v>
      </c>
      <c r="I17" s="192">
        <v>1.8</v>
      </c>
      <c r="J17" s="192">
        <v>0.01</v>
      </c>
      <c r="K17" s="192">
        <v>5</v>
      </c>
      <c r="L17" s="194"/>
      <c r="M17" s="194"/>
      <c r="N17" s="194"/>
      <c r="O17" s="194"/>
      <c r="P17" s="194"/>
      <c r="Q17" s="194"/>
      <c r="R17" s="194"/>
      <c r="S17" s="194"/>
      <c r="T17" s="194"/>
      <c r="U17" s="194"/>
      <c r="V17" s="194"/>
      <c r="W17" s="194"/>
      <c r="X17" s="194"/>
      <c r="Y17" s="194"/>
      <c r="Z17" s="183"/>
    </row>
    <row r="18" spans="1:26" ht="18.75" customHeight="1">
      <c r="A18" s="190">
        <v>34940</v>
      </c>
      <c r="B18" s="187" t="s">
        <v>247</v>
      </c>
      <c r="C18" s="191" t="s">
        <v>249</v>
      </c>
      <c r="D18" s="192">
        <v>6</v>
      </c>
      <c r="E18" s="192">
        <v>0.83</v>
      </c>
      <c r="F18" s="192">
        <v>22.6</v>
      </c>
      <c r="G18" s="192">
        <v>94.2</v>
      </c>
      <c r="H18" s="192">
        <v>3.31</v>
      </c>
      <c r="I18" s="192">
        <v>1.8</v>
      </c>
      <c r="J18" s="192">
        <v>0.01</v>
      </c>
      <c r="K18" s="192">
        <v>5</v>
      </c>
      <c r="L18" s="194"/>
      <c r="M18" s="194"/>
      <c r="N18" s="194"/>
      <c r="O18" s="194"/>
      <c r="P18" s="194"/>
      <c r="Q18" s="194"/>
      <c r="R18" s="194"/>
      <c r="S18" s="194"/>
      <c r="T18" s="194"/>
      <c r="U18" s="194"/>
      <c r="V18" s="194"/>
      <c r="W18" s="194"/>
      <c r="X18" s="194"/>
      <c r="Y18" s="194"/>
      <c r="Z18" s="183"/>
    </row>
    <row r="19" spans="1:26" ht="18.75" customHeight="1">
      <c r="A19" s="190">
        <v>34950</v>
      </c>
      <c r="B19" s="187" t="s">
        <v>247</v>
      </c>
      <c r="C19" s="191" t="s">
        <v>248</v>
      </c>
      <c r="D19" s="192">
        <v>6</v>
      </c>
      <c r="E19" s="192">
        <v>0.83</v>
      </c>
      <c r="F19" s="192">
        <v>22.6</v>
      </c>
      <c r="G19" s="192">
        <v>94.2</v>
      </c>
      <c r="H19" s="192">
        <v>3.31</v>
      </c>
      <c r="I19" s="192">
        <v>1.8</v>
      </c>
      <c r="J19" s="192">
        <v>0.01</v>
      </c>
      <c r="K19" s="192">
        <v>5</v>
      </c>
      <c r="L19" s="194"/>
      <c r="M19" s="194"/>
      <c r="N19" s="194"/>
      <c r="O19" s="194"/>
      <c r="P19" s="194"/>
      <c r="Q19" s="194"/>
      <c r="R19" s="194"/>
      <c r="S19" s="194"/>
      <c r="T19" s="194"/>
      <c r="U19" s="194"/>
      <c r="V19" s="194"/>
      <c r="W19" s="194"/>
      <c r="X19" s="194"/>
      <c r="Y19" s="194"/>
      <c r="Z19" s="183"/>
    </row>
    <row r="20" spans="1:26" ht="18.75" customHeight="1">
      <c r="A20" s="190">
        <v>34950</v>
      </c>
      <c r="B20" s="187" t="s">
        <v>247</v>
      </c>
      <c r="C20" s="191" t="s">
        <v>249</v>
      </c>
      <c r="D20" s="192">
        <v>6</v>
      </c>
      <c r="E20" s="192">
        <v>0.83</v>
      </c>
      <c r="F20" s="192">
        <v>22.6</v>
      </c>
      <c r="G20" s="192">
        <v>94.2</v>
      </c>
      <c r="H20" s="192">
        <v>3.31</v>
      </c>
      <c r="I20" s="192">
        <v>1.8</v>
      </c>
      <c r="J20" s="192">
        <v>0.01</v>
      </c>
      <c r="K20" s="192">
        <v>5</v>
      </c>
      <c r="L20" s="194"/>
      <c r="M20" s="194"/>
      <c r="N20" s="194"/>
      <c r="O20" s="194"/>
      <c r="P20" s="194"/>
      <c r="Q20" s="194"/>
      <c r="R20" s="194"/>
      <c r="S20" s="194"/>
      <c r="T20" s="194"/>
      <c r="U20" s="194"/>
      <c r="V20" s="194"/>
      <c r="W20" s="194"/>
      <c r="X20" s="194"/>
      <c r="Y20" s="194"/>
      <c r="Z20" s="183"/>
    </row>
    <row r="21" spans="1:26" ht="18.75" customHeight="1">
      <c r="A21" s="190">
        <v>34960</v>
      </c>
      <c r="B21" s="187" t="s">
        <v>247</v>
      </c>
      <c r="C21" s="191" t="s">
        <v>248</v>
      </c>
      <c r="D21" s="192">
        <v>5</v>
      </c>
      <c r="E21" s="192">
        <v>0.69</v>
      </c>
      <c r="F21" s="192">
        <v>18.8</v>
      </c>
      <c r="G21" s="192">
        <v>78.5</v>
      </c>
      <c r="H21" s="192">
        <v>2.76</v>
      </c>
      <c r="I21" s="192">
        <v>1.5</v>
      </c>
      <c r="J21" s="192">
        <v>0.01</v>
      </c>
      <c r="K21" s="192">
        <v>4</v>
      </c>
      <c r="L21" s="194"/>
      <c r="M21" s="194"/>
      <c r="N21" s="194"/>
      <c r="O21" s="194"/>
      <c r="P21" s="194"/>
      <c r="Q21" s="194"/>
      <c r="R21" s="194"/>
      <c r="S21" s="194"/>
      <c r="T21" s="194"/>
      <c r="U21" s="194"/>
      <c r="V21" s="194"/>
      <c r="W21" s="194"/>
      <c r="X21" s="194"/>
      <c r="Y21" s="194"/>
      <c r="Z21" s="183"/>
    </row>
    <row r="22" spans="1:26" ht="18.75" customHeight="1">
      <c r="A22" s="190">
        <v>34960</v>
      </c>
      <c r="B22" s="187" t="s">
        <v>247</v>
      </c>
      <c r="C22" s="191" t="s">
        <v>248</v>
      </c>
      <c r="D22" s="192">
        <v>5</v>
      </c>
      <c r="E22" s="192">
        <v>0.69</v>
      </c>
      <c r="F22" s="192">
        <v>18.8</v>
      </c>
      <c r="G22" s="192">
        <v>78.5</v>
      </c>
      <c r="H22" s="192">
        <v>2.76</v>
      </c>
      <c r="I22" s="192">
        <v>1.5</v>
      </c>
      <c r="J22" s="192">
        <v>0.01</v>
      </c>
      <c r="K22" s="192">
        <v>4</v>
      </c>
      <c r="L22" s="194"/>
      <c r="M22" s="194"/>
      <c r="N22" s="194"/>
      <c r="O22" s="194"/>
      <c r="P22" s="194"/>
      <c r="Q22" s="194"/>
      <c r="R22" s="194"/>
      <c r="S22" s="194"/>
      <c r="T22" s="194"/>
      <c r="U22" s="194"/>
      <c r="V22" s="194"/>
      <c r="W22" s="194"/>
      <c r="X22" s="194"/>
      <c r="Y22" s="194"/>
      <c r="Z22" s="183"/>
    </row>
    <row r="23" spans="1:26" ht="18.75" customHeight="1">
      <c r="A23" s="190">
        <v>34980</v>
      </c>
      <c r="B23" s="187" t="s">
        <v>247</v>
      </c>
      <c r="C23" s="191" t="s">
        <v>248</v>
      </c>
      <c r="D23" s="192">
        <v>7</v>
      </c>
      <c r="E23" s="192">
        <v>0.97</v>
      </c>
      <c r="F23" s="192">
        <v>26.3</v>
      </c>
      <c r="G23" s="192">
        <v>109.9</v>
      </c>
      <c r="H23" s="192">
        <v>3.86</v>
      </c>
      <c r="I23" s="192">
        <v>2.1</v>
      </c>
      <c r="J23" s="192">
        <v>0.01</v>
      </c>
      <c r="K23" s="192">
        <v>5</v>
      </c>
      <c r="L23" s="194"/>
      <c r="M23" s="194"/>
      <c r="N23" s="194"/>
      <c r="O23" s="194"/>
      <c r="P23" s="194"/>
      <c r="Q23" s="194"/>
      <c r="R23" s="194"/>
      <c r="S23" s="194"/>
      <c r="T23" s="194"/>
      <c r="U23" s="194"/>
      <c r="V23" s="194"/>
      <c r="W23" s="194"/>
      <c r="X23" s="194"/>
      <c r="Y23" s="194"/>
      <c r="Z23" s="183"/>
    </row>
    <row r="24" spans="1:26" ht="18.75" customHeight="1">
      <c r="A24" s="190">
        <v>34980</v>
      </c>
      <c r="B24" s="187" t="s">
        <v>247</v>
      </c>
      <c r="C24" s="191" t="s">
        <v>248</v>
      </c>
      <c r="D24" s="192">
        <v>7</v>
      </c>
      <c r="E24" s="192">
        <v>0.97</v>
      </c>
      <c r="F24" s="192">
        <v>26.3</v>
      </c>
      <c r="G24" s="192">
        <v>109.9</v>
      </c>
      <c r="H24" s="192">
        <v>3.86</v>
      </c>
      <c r="I24" s="192">
        <v>2.1</v>
      </c>
      <c r="J24" s="192">
        <v>0.01</v>
      </c>
      <c r="K24" s="192">
        <v>5</v>
      </c>
      <c r="L24" s="194"/>
      <c r="M24" s="194"/>
      <c r="N24" s="194"/>
      <c r="O24" s="194"/>
      <c r="P24" s="194"/>
      <c r="Q24" s="194"/>
      <c r="R24" s="194"/>
      <c r="S24" s="194"/>
      <c r="T24" s="194"/>
      <c r="U24" s="194"/>
      <c r="V24" s="194"/>
      <c r="W24" s="194"/>
      <c r="X24" s="194"/>
      <c r="Y24" s="194"/>
      <c r="Z24" s="183"/>
    </row>
    <row r="25" spans="1:26" ht="18.75" customHeight="1">
      <c r="A25" s="190">
        <v>35040</v>
      </c>
      <c r="B25" s="187" t="s">
        <v>247</v>
      </c>
      <c r="C25" s="191" t="s">
        <v>249</v>
      </c>
      <c r="D25" s="192">
        <v>12</v>
      </c>
      <c r="E25" s="192">
        <v>1.66</v>
      </c>
      <c r="F25" s="192">
        <v>45.1</v>
      </c>
      <c r="G25" s="192">
        <v>188.3</v>
      </c>
      <c r="H25" s="192">
        <v>6.62</v>
      </c>
      <c r="I25" s="192">
        <v>3.6</v>
      </c>
      <c r="J25" s="192">
        <v>0.02</v>
      </c>
      <c r="K25" s="192">
        <v>9</v>
      </c>
      <c r="L25" s="194"/>
      <c r="M25" s="194"/>
      <c r="N25" s="194"/>
      <c r="O25" s="194"/>
      <c r="P25" s="194"/>
      <c r="Q25" s="194"/>
      <c r="R25" s="194"/>
      <c r="S25" s="194"/>
      <c r="T25" s="194"/>
      <c r="U25" s="194"/>
      <c r="V25" s="194"/>
      <c r="W25" s="194"/>
      <c r="X25" s="194"/>
      <c r="Y25" s="194"/>
      <c r="Z25" s="183"/>
    </row>
    <row r="26" spans="1:26" ht="18.75" customHeight="1">
      <c r="A26" s="190">
        <v>35060</v>
      </c>
      <c r="B26" s="187" t="s">
        <v>247</v>
      </c>
      <c r="C26" s="191" t="s">
        <v>248</v>
      </c>
      <c r="D26" s="192">
        <v>4</v>
      </c>
      <c r="E26" s="192">
        <v>0.55</v>
      </c>
      <c r="F26" s="192">
        <v>15</v>
      </c>
      <c r="G26" s="192">
        <v>62.8</v>
      </c>
      <c r="H26" s="192">
        <v>2.21</v>
      </c>
      <c r="I26" s="192">
        <v>1.2</v>
      </c>
      <c r="J26" s="192">
        <v>0.01</v>
      </c>
      <c r="K26" s="192">
        <v>3</v>
      </c>
      <c r="L26" s="194"/>
      <c r="M26" s="194"/>
      <c r="N26" s="194"/>
      <c r="O26" s="194"/>
      <c r="P26" s="194"/>
      <c r="Q26" s="194"/>
      <c r="R26" s="194"/>
      <c r="S26" s="194"/>
      <c r="T26" s="194"/>
      <c r="U26" s="194"/>
      <c r="V26" s="194"/>
      <c r="W26" s="194"/>
      <c r="X26" s="194"/>
      <c r="Y26" s="194"/>
      <c r="Z26" s="183"/>
    </row>
    <row r="27" spans="1:26" ht="18.75" customHeight="1">
      <c r="A27" s="190"/>
      <c r="B27" s="187"/>
      <c r="C27" s="191"/>
      <c r="D27" s="192"/>
      <c r="E27" s="192"/>
      <c r="F27" s="192"/>
      <c r="G27" s="192"/>
      <c r="H27" s="192"/>
      <c r="I27" s="192"/>
      <c r="J27" s="192"/>
      <c r="K27" s="192"/>
      <c r="L27" s="194"/>
      <c r="M27" s="194"/>
      <c r="N27" s="194"/>
      <c r="O27" s="194"/>
      <c r="P27" s="194"/>
      <c r="Q27" s="194"/>
      <c r="R27" s="194"/>
      <c r="S27" s="194"/>
      <c r="T27" s="194"/>
      <c r="U27" s="194"/>
      <c r="V27" s="194"/>
      <c r="W27" s="194"/>
      <c r="X27" s="194"/>
      <c r="Y27" s="194"/>
      <c r="Z27" s="183"/>
    </row>
    <row r="28" spans="1:26" ht="18.75" customHeight="1">
      <c r="A28" s="190"/>
      <c r="B28" s="187"/>
      <c r="C28" s="191"/>
      <c r="D28" s="192"/>
      <c r="E28" s="192"/>
      <c r="F28" s="192"/>
      <c r="G28" s="192"/>
      <c r="H28" s="192"/>
      <c r="I28" s="192"/>
      <c r="J28" s="192"/>
      <c r="K28" s="192"/>
      <c r="L28" s="194"/>
      <c r="M28" s="194"/>
      <c r="N28" s="194"/>
      <c r="O28" s="194"/>
      <c r="P28" s="194"/>
      <c r="Q28" s="194"/>
      <c r="R28" s="194"/>
      <c r="S28" s="194"/>
      <c r="T28" s="194"/>
      <c r="U28" s="194"/>
      <c r="V28" s="194"/>
      <c r="W28" s="194"/>
      <c r="X28" s="194"/>
      <c r="Y28" s="194"/>
      <c r="Z28" s="183"/>
    </row>
    <row r="29" spans="1:26" ht="18.75" customHeight="1">
      <c r="A29" s="190"/>
      <c r="B29" s="187"/>
      <c r="C29" s="191"/>
      <c r="D29" s="192"/>
      <c r="E29" s="192"/>
      <c r="F29" s="192"/>
      <c r="G29" s="192"/>
      <c r="H29" s="192"/>
      <c r="I29" s="192"/>
      <c r="J29" s="192"/>
      <c r="K29" s="192"/>
      <c r="L29" s="194"/>
      <c r="M29" s="194"/>
      <c r="N29" s="194"/>
      <c r="O29" s="194"/>
      <c r="P29" s="194"/>
      <c r="Q29" s="194"/>
      <c r="R29" s="194"/>
      <c r="S29" s="194"/>
      <c r="T29" s="194"/>
      <c r="U29" s="194"/>
      <c r="V29" s="194"/>
      <c r="W29" s="194"/>
      <c r="X29" s="194"/>
      <c r="Y29" s="194"/>
      <c r="Z29" s="183"/>
    </row>
    <row r="30" spans="1:26" ht="18.75" customHeight="1">
      <c r="A30" s="190"/>
      <c r="B30" s="187"/>
      <c r="C30" s="191"/>
      <c r="D30" s="192"/>
      <c r="E30" s="192"/>
      <c r="F30" s="192"/>
      <c r="G30" s="192"/>
      <c r="H30" s="192"/>
      <c r="I30" s="192"/>
      <c r="J30" s="192"/>
      <c r="K30" s="192"/>
      <c r="L30" s="194"/>
      <c r="M30" s="194"/>
      <c r="N30" s="194"/>
      <c r="O30" s="194"/>
      <c r="P30" s="194"/>
      <c r="Q30" s="194"/>
      <c r="R30" s="194"/>
      <c r="S30" s="194"/>
      <c r="T30" s="194"/>
      <c r="U30" s="194"/>
      <c r="V30" s="194"/>
      <c r="W30" s="194"/>
      <c r="X30" s="194"/>
      <c r="Y30" s="194"/>
      <c r="Z30" s="183"/>
    </row>
    <row r="31" spans="1:26" ht="18.75" customHeight="1">
      <c r="A31" s="190"/>
      <c r="B31" s="187"/>
      <c r="C31" s="191"/>
      <c r="D31" s="192"/>
      <c r="E31" s="192"/>
      <c r="F31" s="192"/>
      <c r="G31" s="192"/>
      <c r="H31" s="192"/>
      <c r="I31" s="192"/>
      <c r="J31" s="192"/>
      <c r="K31" s="192"/>
      <c r="L31" s="194"/>
      <c r="M31" s="194"/>
      <c r="N31" s="194"/>
      <c r="O31" s="194"/>
      <c r="P31" s="194"/>
      <c r="Q31" s="194"/>
      <c r="R31" s="194"/>
      <c r="S31" s="194"/>
      <c r="T31" s="194"/>
      <c r="U31" s="194"/>
      <c r="V31" s="194"/>
      <c r="W31" s="194"/>
      <c r="X31" s="194"/>
      <c r="Y31" s="194"/>
      <c r="Z31" s="183"/>
    </row>
    <row r="32" spans="1:26" ht="18.75" customHeight="1">
      <c r="A32" s="190"/>
      <c r="B32" s="187"/>
      <c r="C32" s="191"/>
      <c r="D32" s="192"/>
      <c r="E32" s="192"/>
      <c r="F32" s="192"/>
      <c r="G32" s="192"/>
      <c r="H32" s="192"/>
      <c r="I32" s="192"/>
      <c r="J32" s="192"/>
      <c r="K32" s="192"/>
      <c r="L32" s="194"/>
      <c r="M32" s="194"/>
      <c r="N32" s="194"/>
      <c r="O32" s="194"/>
      <c r="P32" s="194"/>
      <c r="Q32" s="194"/>
      <c r="R32" s="194"/>
      <c r="S32" s="194"/>
      <c r="T32" s="194"/>
      <c r="U32" s="194"/>
      <c r="V32" s="194"/>
      <c r="W32" s="194"/>
      <c r="X32" s="194"/>
      <c r="Y32" s="194"/>
      <c r="Z32" s="183"/>
    </row>
    <row r="33" spans="1:26" ht="18.75" customHeight="1">
      <c r="A33" s="190"/>
      <c r="B33" s="187"/>
      <c r="C33" s="191"/>
      <c r="D33" s="192"/>
      <c r="E33" s="192"/>
      <c r="F33" s="192"/>
      <c r="G33" s="192"/>
      <c r="H33" s="192"/>
      <c r="I33" s="192"/>
      <c r="J33" s="192"/>
      <c r="K33" s="192"/>
      <c r="L33" s="194"/>
      <c r="M33" s="194"/>
      <c r="N33" s="194"/>
      <c r="O33" s="194"/>
      <c r="P33" s="194"/>
      <c r="Q33" s="194"/>
      <c r="R33" s="194"/>
      <c r="S33" s="194"/>
      <c r="T33" s="194"/>
      <c r="U33" s="194"/>
      <c r="V33" s="194"/>
      <c r="W33" s="194"/>
      <c r="X33" s="194"/>
      <c r="Y33" s="194"/>
      <c r="Z33" s="183"/>
    </row>
    <row r="34" spans="1:26" ht="18.75" customHeight="1">
      <c r="A34" s="190"/>
      <c r="B34" s="187"/>
      <c r="C34" s="191"/>
      <c r="D34" s="192"/>
      <c r="E34" s="192"/>
      <c r="F34" s="192"/>
      <c r="G34" s="192"/>
      <c r="H34" s="192"/>
      <c r="I34" s="192"/>
      <c r="J34" s="192"/>
      <c r="K34" s="192"/>
      <c r="L34" s="194"/>
      <c r="M34" s="194"/>
      <c r="N34" s="194"/>
      <c r="O34" s="194"/>
      <c r="P34" s="194"/>
      <c r="Q34" s="194"/>
      <c r="R34" s="194"/>
      <c r="S34" s="194"/>
      <c r="T34" s="194"/>
      <c r="U34" s="194"/>
      <c r="V34" s="194"/>
      <c r="W34" s="194"/>
      <c r="X34" s="194"/>
      <c r="Y34" s="194"/>
      <c r="Z34" s="183"/>
    </row>
    <row r="35" spans="1:26" ht="18.75" customHeight="1">
      <c r="A35" s="190"/>
      <c r="B35" s="187"/>
      <c r="C35" s="191"/>
      <c r="D35" s="192"/>
      <c r="E35" s="192"/>
      <c r="F35" s="192"/>
      <c r="G35" s="192"/>
      <c r="H35" s="192"/>
      <c r="I35" s="192"/>
      <c r="J35" s="192"/>
      <c r="K35" s="192"/>
      <c r="L35" s="194"/>
      <c r="M35" s="194"/>
      <c r="N35" s="194"/>
      <c r="O35" s="194"/>
      <c r="P35" s="194"/>
      <c r="Q35" s="194"/>
      <c r="R35" s="194"/>
      <c r="S35" s="194"/>
      <c r="T35" s="194"/>
      <c r="U35" s="194"/>
      <c r="V35" s="194"/>
      <c r="W35" s="194"/>
      <c r="X35" s="194"/>
      <c r="Y35" s="194"/>
      <c r="Z35" s="183"/>
    </row>
    <row r="36" spans="1:26" ht="18.75" customHeight="1">
      <c r="A36" s="190"/>
      <c r="B36" s="187"/>
      <c r="C36" s="191"/>
      <c r="D36" s="192"/>
      <c r="E36" s="192"/>
      <c r="F36" s="192"/>
      <c r="G36" s="192"/>
      <c r="H36" s="192"/>
      <c r="I36" s="192"/>
      <c r="J36" s="192"/>
      <c r="K36" s="192"/>
      <c r="L36" s="194"/>
      <c r="M36" s="194"/>
      <c r="N36" s="194"/>
      <c r="O36" s="194"/>
      <c r="P36" s="194"/>
      <c r="Q36" s="194"/>
      <c r="R36" s="194"/>
      <c r="S36" s="194"/>
      <c r="T36" s="194"/>
      <c r="U36" s="194"/>
      <c r="V36" s="194"/>
      <c r="W36" s="194"/>
      <c r="X36" s="194"/>
      <c r="Y36" s="194"/>
      <c r="Z36" s="183"/>
    </row>
    <row r="37" spans="1:26" ht="18.75" customHeight="1">
      <c r="A37" s="190"/>
      <c r="B37" s="187"/>
      <c r="C37" s="191"/>
      <c r="D37" s="192"/>
      <c r="E37" s="192"/>
      <c r="F37" s="192"/>
      <c r="G37" s="192"/>
      <c r="H37" s="192"/>
      <c r="I37" s="192"/>
      <c r="J37" s="192"/>
      <c r="K37" s="192"/>
      <c r="L37" s="194"/>
      <c r="M37" s="194"/>
      <c r="N37" s="194"/>
      <c r="O37" s="194"/>
      <c r="P37" s="194"/>
      <c r="Q37" s="194"/>
      <c r="R37" s="194"/>
      <c r="S37" s="194"/>
      <c r="T37" s="194"/>
      <c r="U37" s="194"/>
      <c r="V37" s="194"/>
      <c r="W37" s="194"/>
      <c r="X37" s="194"/>
      <c r="Y37" s="194"/>
      <c r="Z37" s="183"/>
    </row>
    <row r="38" spans="1:26" ht="18.75" customHeight="1">
      <c r="A38" s="190"/>
      <c r="B38" s="187"/>
      <c r="C38" s="191"/>
      <c r="D38" s="192"/>
      <c r="E38" s="192"/>
      <c r="F38" s="192"/>
      <c r="G38" s="192"/>
      <c r="H38" s="192"/>
      <c r="I38" s="192"/>
      <c r="J38" s="192"/>
      <c r="K38" s="192"/>
      <c r="L38" s="194"/>
      <c r="M38" s="194"/>
      <c r="N38" s="194"/>
      <c r="O38" s="194"/>
      <c r="P38" s="194"/>
      <c r="Q38" s="194"/>
      <c r="R38" s="194"/>
      <c r="S38" s="194"/>
      <c r="T38" s="194"/>
      <c r="U38" s="194"/>
      <c r="V38" s="194"/>
      <c r="W38" s="194"/>
      <c r="X38" s="194"/>
      <c r="Y38" s="194"/>
      <c r="Z38" s="183"/>
    </row>
    <row r="39" spans="1:26" ht="18.75" customHeight="1">
      <c r="A39" s="190"/>
      <c r="B39" s="187"/>
      <c r="C39" s="191"/>
      <c r="D39" s="192"/>
      <c r="E39" s="192"/>
      <c r="F39" s="192"/>
      <c r="G39" s="192"/>
      <c r="H39" s="192"/>
      <c r="I39" s="192"/>
      <c r="J39" s="192"/>
      <c r="K39" s="192"/>
      <c r="L39" s="194"/>
      <c r="M39" s="194"/>
      <c r="N39" s="194"/>
      <c r="O39" s="194"/>
      <c r="P39" s="194"/>
      <c r="Q39" s="194"/>
      <c r="R39" s="194"/>
      <c r="S39" s="194"/>
      <c r="T39" s="194"/>
      <c r="U39" s="194"/>
      <c r="V39" s="194"/>
      <c r="W39" s="194"/>
      <c r="X39" s="194"/>
      <c r="Y39" s="194"/>
      <c r="Z39" s="183"/>
    </row>
    <row r="40" spans="1:26" ht="18.75" customHeight="1">
      <c r="A40" s="190"/>
      <c r="B40" s="187"/>
      <c r="C40" s="191"/>
      <c r="D40" s="192"/>
      <c r="E40" s="192"/>
      <c r="F40" s="192"/>
      <c r="G40" s="192"/>
      <c r="H40" s="192"/>
      <c r="I40" s="192"/>
      <c r="J40" s="192"/>
      <c r="K40" s="192"/>
      <c r="L40" s="194"/>
      <c r="M40" s="194"/>
      <c r="N40" s="194"/>
      <c r="O40" s="194"/>
      <c r="P40" s="194"/>
      <c r="Q40" s="194"/>
      <c r="R40" s="194"/>
      <c r="S40" s="194"/>
      <c r="T40" s="194"/>
      <c r="U40" s="194"/>
      <c r="V40" s="194"/>
      <c r="W40" s="194"/>
      <c r="X40" s="194"/>
      <c r="Y40" s="194"/>
      <c r="Z40" s="183"/>
    </row>
    <row r="41" spans="1:26" s="181" customFormat="1" ht="18.75" customHeight="1">
      <c r="A41" s="374" t="s">
        <v>230</v>
      </c>
      <c r="B41" s="375"/>
      <c r="C41" s="193"/>
      <c r="D41" s="194">
        <f aca="true" t="shared" si="0" ref="D41:K41">SUM(D8:D26)</f>
        <v>115</v>
      </c>
      <c r="E41" s="194">
        <f t="shared" si="0"/>
        <v>15.9</v>
      </c>
      <c r="F41" s="194">
        <f t="shared" si="0"/>
        <v>432.70000000000005</v>
      </c>
      <c r="G41" s="194">
        <f t="shared" si="0"/>
        <v>1805.4000000000003</v>
      </c>
      <c r="H41" s="194">
        <f t="shared" si="0"/>
        <v>63.449999999999996</v>
      </c>
      <c r="I41" s="194">
        <f t="shared" si="0"/>
        <v>34.50000000000001</v>
      </c>
      <c r="J41" s="194">
        <f t="shared" si="0"/>
        <v>0.2</v>
      </c>
      <c r="K41" s="194">
        <f t="shared" si="0"/>
        <v>92</v>
      </c>
      <c r="L41" s="194">
        <f aca="true" t="shared" si="1" ref="L41:Y41">SUM(L5:L26)</f>
        <v>540</v>
      </c>
      <c r="M41" s="194">
        <f t="shared" si="1"/>
        <v>238.88</v>
      </c>
      <c r="N41" s="194">
        <f t="shared" si="1"/>
        <v>440.88</v>
      </c>
      <c r="O41" s="194">
        <f t="shared" si="1"/>
        <v>372.96000000000004</v>
      </c>
      <c r="P41" s="194">
        <f t="shared" si="1"/>
        <v>238.88</v>
      </c>
      <c r="Q41" s="194">
        <f t="shared" si="1"/>
        <v>351.12</v>
      </c>
      <c r="R41" s="194">
        <f t="shared" si="1"/>
        <v>1.8957142857142857</v>
      </c>
      <c r="S41" s="194">
        <f t="shared" si="1"/>
        <v>2.4274</v>
      </c>
      <c r="T41" s="194">
        <f t="shared" si="1"/>
        <v>1.54</v>
      </c>
      <c r="U41" s="194">
        <f t="shared" si="1"/>
        <v>3.18</v>
      </c>
      <c r="V41" s="194">
        <f t="shared" si="1"/>
        <v>3.35</v>
      </c>
      <c r="W41" s="194">
        <f t="shared" si="1"/>
        <v>2.64</v>
      </c>
      <c r="X41" s="194">
        <f t="shared" si="1"/>
        <v>0.455</v>
      </c>
      <c r="Y41" s="194">
        <f t="shared" si="1"/>
        <v>0.683</v>
      </c>
      <c r="Z41" s="193"/>
    </row>
    <row r="42" spans="1:3" ht="11.25" customHeight="1">
      <c r="A42" s="195"/>
      <c r="B42" s="195"/>
      <c r="C42" s="195"/>
    </row>
    <row r="43" spans="1:25" ht="11.25" customHeight="1">
      <c r="A43" s="195"/>
      <c r="B43" s="195"/>
      <c r="C43" s="195"/>
      <c r="D43" s="196"/>
      <c r="E43" s="196"/>
      <c r="F43" s="196"/>
      <c r="G43" s="196"/>
      <c r="H43" s="196"/>
      <c r="I43" s="196"/>
      <c r="J43" s="196"/>
      <c r="K43" s="196"/>
      <c r="L43" s="196"/>
      <c r="M43" s="196"/>
      <c r="N43" s="196"/>
      <c r="O43" s="196"/>
      <c r="P43" s="196"/>
      <c r="Q43" s="196"/>
      <c r="R43" s="196"/>
      <c r="S43" s="196"/>
      <c r="T43" s="196"/>
      <c r="U43" s="196"/>
      <c r="V43" s="196"/>
      <c r="W43" s="196"/>
      <c r="X43" s="196"/>
      <c r="Y43" s="196"/>
    </row>
    <row r="44" spans="1:3" ht="11.25" customHeight="1">
      <c r="A44" s="195"/>
      <c r="B44" s="195"/>
      <c r="C44" s="195"/>
    </row>
    <row r="45" spans="1:3" ht="11.25" customHeight="1">
      <c r="A45" s="195"/>
      <c r="B45" s="195"/>
      <c r="C45" s="195"/>
    </row>
    <row r="46" spans="1:3" ht="11.25" customHeight="1">
      <c r="A46" s="195"/>
      <c r="B46" s="195"/>
      <c r="C46" s="195"/>
    </row>
    <row r="47" spans="1:3" ht="11.25" customHeight="1">
      <c r="A47" s="195"/>
      <c r="B47" s="195"/>
      <c r="C47" s="195"/>
    </row>
    <row r="48" spans="1:3" ht="18.75" customHeight="1">
      <c r="A48" s="195"/>
      <c r="B48" s="195"/>
      <c r="C48" s="195"/>
    </row>
  </sheetData>
  <sheetProtection/>
  <mergeCells count="11">
    <mergeCell ref="A41:B41"/>
    <mergeCell ref="C2:C4"/>
    <mergeCell ref="Q2:Q3"/>
    <mergeCell ref="Z2:Z3"/>
    <mergeCell ref="A2:B4"/>
    <mergeCell ref="A1:Z1"/>
    <mergeCell ref="D2:K2"/>
    <mergeCell ref="L2:P2"/>
    <mergeCell ref="R2:S2"/>
    <mergeCell ref="T2:W2"/>
    <mergeCell ref="X2:Y2"/>
  </mergeCells>
  <printOptions/>
  <pageMargins left="0.39" right="0.39" top="0.59" bottom="1.02" header="0.24" footer="0.75"/>
  <pageSetup horizontalDpi="600" verticalDpi="600" orientation="landscape" paperSize="9"/>
  <headerFooter alignWithMargins="0">
    <oddFooter>&amp;L施工单位：&amp;C监理单位：                                代建单位：</oddFooter>
  </headerFooter>
</worksheet>
</file>

<file path=xl/worksheets/sheet7.xml><?xml version="1.0" encoding="utf-8"?>
<worksheet xmlns="http://schemas.openxmlformats.org/spreadsheetml/2006/main" xmlns:r="http://schemas.openxmlformats.org/officeDocument/2006/relationships">
  <sheetPr>
    <tabColor indexed="49"/>
  </sheetPr>
  <dimension ref="A1:AE30"/>
  <sheetViews>
    <sheetView zoomScalePageLayoutView="0" workbookViewId="0" topLeftCell="A1">
      <pane xSplit="3" ySplit="5" topLeftCell="P6" activePane="bottomRight" state="frozen"/>
      <selection pane="topLeft" activeCell="A1" sqref="A1"/>
      <selection pane="topRight" activeCell="A1" sqref="A1"/>
      <selection pane="bottomLeft" activeCell="A1" sqref="A1"/>
      <selection pane="bottomRight" activeCell="AC15" sqref="AC15"/>
    </sheetView>
  </sheetViews>
  <sheetFormatPr defaultColWidth="9.00390625" defaultRowHeight="14.25"/>
  <cols>
    <col min="1" max="2" width="7.125" style="159" customWidth="1"/>
    <col min="3" max="3" width="5.00390625" style="160" customWidth="1"/>
    <col min="4" max="4" width="2.75390625" style="159" customWidth="1"/>
    <col min="5" max="5" width="4.875" style="159" customWidth="1"/>
    <col min="6" max="6" width="3.125" style="159" customWidth="1"/>
    <col min="7" max="7" width="5.375" style="159" customWidth="1"/>
    <col min="8" max="8" width="3.75390625" style="159" customWidth="1"/>
    <col min="9" max="9" width="5.375" style="159" customWidth="1"/>
    <col min="10" max="10" width="2.75390625" style="159" customWidth="1"/>
    <col min="11" max="11" width="5.375" style="159" customWidth="1"/>
    <col min="12" max="12" width="2.50390625" style="159" customWidth="1"/>
    <col min="13" max="13" width="5.375" style="159" customWidth="1"/>
    <col min="14" max="14" width="2.625" style="159" customWidth="1"/>
    <col min="15" max="15" width="5.50390625" style="159" customWidth="1"/>
    <col min="16" max="16" width="5.00390625" style="159" customWidth="1"/>
    <col min="17" max="17" width="5.75390625" style="159" customWidth="1"/>
    <col min="18" max="18" width="3.375" style="159" customWidth="1"/>
    <col min="19" max="19" width="5.00390625" style="159" customWidth="1"/>
    <col min="20" max="20" width="3.25390625" style="159" customWidth="1"/>
    <col min="21" max="21" width="5.625" style="159" customWidth="1"/>
    <col min="22" max="22" width="4.50390625" style="159" customWidth="1"/>
    <col min="23" max="24" width="5.875" style="159" customWidth="1"/>
    <col min="25" max="25" width="6.375" style="159" customWidth="1"/>
    <col min="26" max="26" width="4.875" style="159" customWidth="1"/>
    <col min="27" max="28" width="6.25390625" style="159" customWidth="1"/>
    <col min="29" max="30" width="4.875" style="159" customWidth="1"/>
    <col min="31" max="31" width="10.75390625" style="159" customWidth="1"/>
    <col min="32" max="16384" width="9.00390625" style="114" customWidth="1"/>
  </cols>
  <sheetData>
    <row r="1" spans="1:31" ht="23.25">
      <c r="A1" s="376" t="s">
        <v>250</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row>
    <row r="2" ht="4.5" customHeight="1"/>
    <row r="3" spans="1:31" s="157" customFormat="1" ht="12" customHeight="1">
      <c r="A3" s="389" t="s">
        <v>206</v>
      </c>
      <c r="B3" s="379"/>
      <c r="C3" s="385" t="s">
        <v>251</v>
      </c>
      <c r="D3" s="379" t="s">
        <v>252</v>
      </c>
      <c r="E3" s="379"/>
      <c r="F3" s="378" t="s">
        <v>253</v>
      </c>
      <c r="G3" s="379"/>
      <c r="H3" s="379" t="s">
        <v>254</v>
      </c>
      <c r="I3" s="379"/>
      <c r="J3" s="379" t="s">
        <v>255</v>
      </c>
      <c r="K3" s="379"/>
      <c r="L3" s="379" t="s">
        <v>256</v>
      </c>
      <c r="M3" s="379"/>
      <c r="N3" s="379" t="s">
        <v>257</v>
      </c>
      <c r="O3" s="379"/>
      <c r="P3" s="378" t="s">
        <v>258</v>
      </c>
      <c r="Q3" s="378" t="s">
        <v>259</v>
      </c>
      <c r="R3" s="378" t="s">
        <v>260</v>
      </c>
      <c r="S3" s="379"/>
      <c r="T3" s="379"/>
      <c r="U3" s="379"/>
      <c r="V3" s="379"/>
      <c r="W3" s="378" t="s">
        <v>261</v>
      </c>
      <c r="X3" s="379"/>
      <c r="Y3" s="379"/>
      <c r="Z3" s="378" t="s">
        <v>81</v>
      </c>
      <c r="AA3" s="378" t="s">
        <v>247</v>
      </c>
      <c r="AB3" s="379"/>
      <c r="AC3" s="379"/>
      <c r="AD3" s="379"/>
      <c r="AE3" s="387" t="s">
        <v>175</v>
      </c>
    </row>
    <row r="4" spans="1:31" s="158" customFormat="1" ht="42.75" customHeight="1">
      <c r="A4" s="390"/>
      <c r="B4" s="380"/>
      <c r="C4" s="386"/>
      <c r="D4" s="380"/>
      <c r="E4" s="380"/>
      <c r="F4" s="380"/>
      <c r="G4" s="380"/>
      <c r="H4" s="380"/>
      <c r="I4" s="380"/>
      <c r="J4" s="380"/>
      <c r="K4" s="380"/>
      <c r="L4" s="380"/>
      <c r="M4" s="380"/>
      <c r="N4" s="380"/>
      <c r="O4" s="380"/>
      <c r="P4" s="380"/>
      <c r="Q4" s="380"/>
      <c r="R4" s="380" t="s">
        <v>262</v>
      </c>
      <c r="S4" s="380"/>
      <c r="T4" s="380" t="s">
        <v>263</v>
      </c>
      <c r="U4" s="380"/>
      <c r="V4" s="162" t="s">
        <v>264</v>
      </c>
      <c r="W4" s="162" t="s">
        <v>265</v>
      </c>
      <c r="X4" s="162" t="s">
        <v>266</v>
      </c>
      <c r="Y4" s="162" t="s">
        <v>267</v>
      </c>
      <c r="Z4" s="380"/>
      <c r="AA4" s="161" t="s">
        <v>268</v>
      </c>
      <c r="AB4" s="161" t="s">
        <v>263</v>
      </c>
      <c r="AC4" s="162" t="s">
        <v>34</v>
      </c>
      <c r="AD4" s="162" t="s">
        <v>269</v>
      </c>
      <c r="AE4" s="388"/>
    </row>
    <row r="5" spans="1:31" s="157" customFormat="1" ht="20.25" customHeight="1">
      <c r="A5" s="390"/>
      <c r="B5" s="380"/>
      <c r="C5" s="386"/>
      <c r="D5" s="162" t="s">
        <v>270</v>
      </c>
      <c r="E5" s="161" t="s">
        <v>227</v>
      </c>
      <c r="F5" s="162" t="s">
        <v>270</v>
      </c>
      <c r="G5" s="161" t="s">
        <v>227</v>
      </c>
      <c r="H5" s="162" t="s">
        <v>270</v>
      </c>
      <c r="I5" s="161" t="s">
        <v>227</v>
      </c>
      <c r="J5" s="162" t="s">
        <v>270</v>
      </c>
      <c r="K5" s="161" t="s">
        <v>227</v>
      </c>
      <c r="L5" s="162" t="s">
        <v>270</v>
      </c>
      <c r="M5" s="161" t="s">
        <v>227</v>
      </c>
      <c r="N5" s="162" t="s">
        <v>270</v>
      </c>
      <c r="O5" s="161" t="s">
        <v>227</v>
      </c>
      <c r="P5" s="170" t="s">
        <v>84</v>
      </c>
      <c r="Q5" s="170" t="s">
        <v>84</v>
      </c>
      <c r="R5" s="162" t="s">
        <v>270</v>
      </c>
      <c r="S5" s="161" t="s">
        <v>227</v>
      </c>
      <c r="T5" s="162" t="s">
        <v>270</v>
      </c>
      <c r="U5" s="161" t="s">
        <v>227</v>
      </c>
      <c r="V5" s="161" t="s">
        <v>226</v>
      </c>
      <c r="W5" s="161" t="s">
        <v>227</v>
      </c>
      <c r="X5" s="161" t="s">
        <v>227</v>
      </c>
      <c r="Y5" s="161" t="s">
        <v>227</v>
      </c>
      <c r="Z5" s="161" t="s">
        <v>227</v>
      </c>
      <c r="AA5" s="161" t="s">
        <v>227</v>
      </c>
      <c r="AB5" s="161" t="s">
        <v>227</v>
      </c>
      <c r="AC5" s="161" t="s">
        <v>226</v>
      </c>
      <c r="AD5" s="161" t="s">
        <v>226</v>
      </c>
      <c r="AE5" s="388"/>
    </row>
    <row r="6" spans="1:31" ht="24.75" customHeight="1">
      <c r="A6" s="163">
        <v>34300</v>
      </c>
      <c r="B6" s="164">
        <v>34880</v>
      </c>
      <c r="C6" s="165">
        <f>B6-A6-36</f>
        <v>544</v>
      </c>
      <c r="D6" s="166">
        <v>9</v>
      </c>
      <c r="E6" s="166">
        <f>D6*C6</f>
        <v>4896</v>
      </c>
      <c r="F6" s="166">
        <v>9.8</v>
      </c>
      <c r="G6" s="166">
        <f>F6*C6</f>
        <v>5331.200000000001</v>
      </c>
      <c r="H6" s="166">
        <v>9.5</v>
      </c>
      <c r="I6" s="166">
        <f>H6*C6</f>
        <v>5168</v>
      </c>
      <c r="J6" s="166">
        <v>10.1</v>
      </c>
      <c r="K6" s="166">
        <f>J6*C6</f>
        <v>5494.4</v>
      </c>
      <c r="L6" s="166"/>
      <c r="M6" s="166"/>
      <c r="N6" s="166"/>
      <c r="O6" s="166"/>
      <c r="P6" s="166"/>
      <c r="Q6" s="166"/>
      <c r="R6" s="166">
        <v>1</v>
      </c>
      <c r="S6" s="166">
        <f>R6*C6</f>
        <v>544</v>
      </c>
      <c r="T6" s="166">
        <v>0.5</v>
      </c>
      <c r="U6" s="166">
        <f>T6*C6</f>
        <v>272</v>
      </c>
      <c r="V6" s="166">
        <f>C6*0.05</f>
        <v>27.200000000000003</v>
      </c>
      <c r="W6" s="166"/>
      <c r="X6" s="166"/>
      <c r="Y6" s="166"/>
      <c r="Z6" s="166"/>
      <c r="AA6" s="166"/>
      <c r="AB6" s="166"/>
      <c r="AC6" s="166"/>
      <c r="AD6" s="166"/>
      <c r="AE6" s="174" t="s">
        <v>271</v>
      </c>
    </row>
    <row r="7" spans="1:31" ht="18.75" customHeight="1">
      <c r="A7" s="163">
        <v>34880</v>
      </c>
      <c r="B7" s="164">
        <v>35420</v>
      </c>
      <c r="C7" s="165">
        <f>B7-A7</f>
        <v>540</v>
      </c>
      <c r="D7" s="166">
        <v>9</v>
      </c>
      <c r="E7" s="166">
        <f>D7*C7</f>
        <v>4860</v>
      </c>
      <c r="F7" s="166">
        <v>9.8</v>
      </c>
      <c r="G7" s="166">
        <f>F7*C7</f>
        <v>5292</v>
      </c>
      <c r="H7" s="166">
        <v>9.5</v>
      </c>
      <c r="I7" s="166">
        <f>H7*C7</f>
        <v>5130</v>
      </c>
      <c r="J7" s="166"/>
      <c r="K7" s="166"/>
      <c r="L7" s="166">
        <v>10.1</v>
      </c>
      <c r="M7" s="166">
        <f>L7*C7</f>
        <v>5454</v>
      </c>
      <c r="N7" s="166">
        <v>10.1</v>
      </c>
      <c r="O7" s="166">
        <f>N7*C7</f>
        <v>5454</v>
      </c>
      <c r="P7" s="166"/>
      <c r="Q7" s="166"/>
      <c r="R7" s="166">
        <v>1</v>
      </c>
      <c r="S7" s="166">
        <f>R7*C7</f>
        <v>540</v>
      </c>
      <c r="T7" s="166">
        <v>0.5</v>
      </c>
      <c r="U7" s="166">
        <f>T7*C7</f>
        <v>270</v>
      </c>
      <c r="V7" s="166">
        <f>0.05*C7</f>
        <v>27</v>
      </c>
      <c r="W7" s="166"/>
      <c r="X7" s="166"/>
      <c r="Y7" s="166"/>
      <c r="Z7" s="166"/>
      <c r="AA7" s="166"/>
      <c r="AB7" s="166"/>
      <c r="AC7" s="166"/>
      <c r="AD7" s="166"/>
      <c r="AE7" s="174" t="s">
        <v>272</v>
      </c>
    </row>
    <row r="8" spans="1:31" ht="24.75" customHeight="1">
      <c r="A8" s="163">
        <v>34140</v>
      </c>
      <c r="B8" s="164">
        <v>34880</v>
      </c>
      <c r="C8" s="165">
        <f>B8-A8</f>
        <v>740</v>
      </c>
      <c r="D8" s="166"/>
      <c r="E8" s="166"/>
      <c r="F8" s="166"/>
      <c r="G8" s="166"/>
      <c r="H8" s="166"/>
      <c r="I8" s="166"/>
      <c r="J8" s="166"/>
      <c r="K8" s="166"/>
      <c r="L8" s="166"/>
      <c r="M8" s="166"/>
      <c r="N8" s="166"/>
      <c r="O8" s="166"/>
      <c r="P8" s="166"/>
      <c r="Q8" s="166"/>
      <c r="R8" s="166"/>
      <c r="S8" s="166"/>
      <c r="T8" s="166"/>
      <c r="U8" s="166"/>
      <c r="V8" s="166"/>
      <c r="W8" s="166"/>
      <c r="X8" s="166"/>
      <c r="Y8" s="166"/>
      <c r="Z8" s="166">
        <v>3.58</v>
      </c>
      <c r="AA8" s="166"/>
      <c r="AB8" s="166"/>
      <c r="AC8" s="166"/>
      <c r="AD8" s="166"/>
      <c r="AE8" s="174" t="s">
        <v>81</v>
      </c>
    </row>
    <row r="9" spans="1:31" ht="39" customHeight="1">
      <c r="A9" s="163">
        <v>34300</v>
      </c>
      <c r="B9" s="164">
        <v>35420</v>
      </c>
      <c r="C9" s="165">
        <f>B9-A9</f>
        <v>1120</v>
      </c>
      <c r="D9" s="166"/>
      <c r="E9" s="166"/>
      <c r="F9" s="166"/>
      <c r="G9" s="166"/>
      <c r="H9" s="166"/>
      <c r="I9" s="166"/>
      <c r="J9" s="166"/>
      <c r="K9" s="166"/>
      <c r="L9" s="166"/>
      <c r="M9" s="166"/>
      <c r="N9" s="166"/>
      <c r="O9" s="166"/>
      <c r="P9" s="166">
        <f>(719.2+239.7)/1489*(B9-A9)</f>
        <v>721.2679650772332</v>
      </c>
      <c r="Q9" s="166">
        <f>(1911.5+1050.9+37.8)/1489*(C9)</f>
        <v>2256.698455339154</v>
      </c>
      <c r="R9" s="166"/>
      <c r="S9" s="166"/>
      <c r="T9" s="166"/>
      <c r="U9" s="166"/>
      <c r="V9" s="166"/>
      <c r="W9" s="166"/>
      <c r="X9" s="166"/>
      <c r="Y9" s="166"/>
      <c r="Z9" s="166"/>
      <c r="AA9" s="166"/>
      <c r="AB9" s="166"/>
      <c r="AC9" s="166"/>
      <c r="AD9" s="166"/>
      <c r="AE9" s="174" t="s">
        <v>273</v>
      </c>
    </row>
    <row r="10" spans="1:31" ht="19.5" customHeight="1">
      <c r="A10" s="381" t="s">
        <v>274</v>
      </c>
      <c r="B10" s="382"/>
      <c r="C10" s="165">
        <v>36</v>
      </c>
      <c r="D10" s="166"/>
      <c r="E10" s="166"/>
      <c r="F10" s="166"/>
      <c r="G10" s="166"/>
      <c r="H10" s="166"/>
      <c r="I10" s="166"/>
      <c r="J10" s="166"/>
      <c r="K10" s="166"/>
      <c r="L10" s="166"/>
      <c r="M10" s="166"/>
      <c r="N10" s="166"/>
      <c r="O10" s="166"/>
      <c r="P10" s="166">
        <v>799.1</v>
      </c>
      <c r="Q10" s="166">
        <v>2816.8</v>
      </c>
      <c r="R10" s="166"/>
      <c r="S10" s="166"/>
      <c r="T10" s="166"/>
      <c r="U10" s="166"/>
      <c r="V10" s="166"/>
      <c r="W10" s="166"/>
      <c r="X10" s="166"/>
      <c r="Y10" s="166"/>
      <c r="Z10" s="166"/>
      <c r="AA10" s="166"/>
      <c r="AB10" s="166"/>
      <c r="AC10" s="166"/>
      <c r="AD10" s="166"/>
      <c r="AE10" s="175"/>
    </row>
    <row r="11" spans="1:31" ht="19.5" customHeight="1">
      <c r="A11" s="163">
        <v>34300</v>
      </c>
      <c r="B11" s="164">
        <v>35420</v>
      </c>
      <c r="C11" s="165">
        <f>B11-A11</f>
        <v>1120</v>
      </c>
      <c r="D11" s="166"/>
      <c r="E11" s="166"/>
      <c r="F11" s="166"/>
      <c r="G11" s="166"/>
      <c r="H11" s="166"/>
      <c r="I11" s="166"/>
      <c r="J11" s="166"/>
      <c r="K11" s="166"/>
      <c r="L11" s="166"/>
      <c r="M11" s="166"/>
      <c r="N11" s="166"/>
      <c r="O11" s="166"/>
      <c r="P11" s="166"/>
      <c r="Q11" s="166"/>
      <c r="R11" s="166"/>
      <c r="S11" s="166"/>
      <c r="T11" s="166"/>
      <c r="U11" s="166"/>
      <c r="V11" s="166"/>
      <c r="W11" s="166">
        <f>C11*0.3</f>
        <v>336</v>
      </c>
      <c r="X11" s="171">
        <f>C11*0.063</f>
        <v>70.56</v>
      </c>
      <c r="Y11" s="176"/>
      <c r="Z11" s="176"/>
      <c r="AA11" s="176"/>
      <c r="AB11" s="176"/>
      <c r="AC11" s="166"/>
      <c r="AD11" s="166"/>
      <c r="AE11" s="174" t="s">
        <v>272</v>
      </c>
    </row>
    <row r="12" spans="1:31" ht="19.5" customHeight="1">
      <c r="A12" s="163">
        <v>34340</v>
      </c>
      <c r="B12" s="167" t="s">
        <v>247</v>
      </c>
      <c r="C12" s="168" t="s">
        <v>249</v>
      </c>
      <c r="D12" s="166"/>
      <c r="E12" s="166"/>
      <c r="F12" s="166"/>
      <c r="G12" s="166"/>
      <c r="H12" s="166"/>
      <c r="I12" s="166"/>
      <c r="J12" s="166"/>
      <c r="K12" s="166"/>
      <c r="L12" s="166"/>
      <c r="M12" s="166"/>
      <c r="N12" s="166"/>
      <c r="O12" s="166"/>
      <c r="P12" s="166"/>
      <c r="Q12" s="166"/>
      <c r="R12" s="166"/>
      <c r="S12" s="166"/>
      <c r="T12" s="166"/>
      <c r="U12" s="166"/>
      <c r="V12" s="166"/>
      <c r="W12" s="166"/>
      <c r="X12" s="166"/>
      <c r="Y12" s="176"/>
      <c r="Z12" s="176"/>
      <c r="AA12" s="166">
        <v>80.7</v>
      </c>
      <c r="AB12" s="166">
        <v>86.3</v>
      </c>
      <c r="AC12" s="166"/>
      <c r="AD12" s="166">
        <v>36</v>
      </c>
      <c r="AE12" s="173"/>
    </row>
    <row r="13" spans="1:31" ht="19.5" customHeight="1">
      <c r="A13" s="163">
        <v>34520</v>
      </c>
      <c r="B13" s="167" t="s">
        <v>247</v>
      </c>
      <c r="C13" s="168" t="s">
        <v>248</v>
      </c>
      <c r="D13" s="166"/>
      <c r="E13" s="166"/>
      <c r="F13" s="166"/>
      <c r="G13" s="166"/>
      <c r="H13" s="166"/>
      <c r="I13" s="166"/>
      <c r="J13" s="166"/>
      <c r="K13" s="166"/>
      <c r="L13" s="166"/>
      <c r="M13" s="166"/>
      <c r="N13" s="166"/>
      <c r="O13" s="166"/>
      <c r="P13" s="166"/>
      <c r="Q13" s="166"/>
      <c r="R13" s="166"/>
      <c r="S13" s="166"/>
      <c r="T13" s="166"/>
      <c r="U13" s="166"/>
      <c r="V13" s="166"/>
      <c r="W13" s="166"/>
      <c r="X13" s="166"/>
      <c r="Y13" s="176"/>
      <c r="Z13" s="176"/>
      <c r="AA13" s="166">
        <v>12.86</v>
      </c>
      <c r="AB13" s="166">
        <v>14.6</v>
      </c>
      <c r="AC13" s="166">
        <v>4</v>
      </c>
      <c r="AD13" s="166"/>
      <c r="AE13" s="173"/>
    </row>
    <row r="14" spans="1:31" ht="19.5" customHeight="1">
      <c r="A14" s="163">
        <v>34580</v>
      </c>
      <c r="B14" s="167" t="s">
        <v>247</v>
      </c>
      <c r="C14" s="168" t="s">
        <v>248</v>
      </c>
      <c r="D14" s="166"/>
      <c r="E14" s="166"/>
      <c r="F14" s="166"/>
      <c r="G14" s="166"/>
      <c r="H14" s="166"/>
      <c r="I14" s="166"/>
      <c r="J14" s="166"/>
      <c r="K14" s="166"/>
      <c r="L14" s="166"/>
      <c r="M14" s="166"/>
      <c r="N14" s="166"/>
      <c r="O14" s="166"/>
      <c r="P14" s="166"/>
      <c r="Q14" s="166"/>
      <c r="R14" s="166"/>
      <c r="S14" s="166"/>
      <c r="T14" s="166"/>
      <c r="U14" s="166"/>
      <c r="V14" s="166"/>
      <c r="W14" s="166"/>
      <c r="X14" s="166"/>
      <c r="Y14" s="176"/>
      <c r="Z14" s="176"/>
      <c r="AA14" s="166">
        <v>14.36</v>
      </c>
      <c r="AB14" s="166">
        <v>16.3</v>
      </c>
      <c r="AC14" s="166"/>
      <c r="AD14" s="166">
        <v>1</v>
      </c>
      <c r="AE14" s="173"/>
    </row>
    <row r="15" spans="1:31" ht="19.5" customHeight="1">
      <c r="A15" s="163">
        <v>34850</v>
      </c>
      <c r="B15" s="167" t="s">
        <v>247</v>
      </c>
      <c r="C15" s="168" t="s">
        <v>248</v>
      </c>
      <c r="D15" s="166"/>
      <c r="E15" s="166"/>
      <c r="F15" s="166"/>
      <c r="G15" s="166"/>
      <c r="H15" s="166"/>
      <c r="I15" s="166"/>
      <c r="J15" s="166"/>
      <c r="K15" s="166"/>
      <c r="L15" s="166"/>
      <c r="M15" s="166"/>
      <c r="N15" s="166"/>
      <c r="O15" s="166"/>
      <c r="P15" s="166"/>
      <c r="Q15" s="166"/>
      <c r="R15" s="166"/>
      <c r="S15" s="166"/>
      <c r="T15" s="166"/>
      <c r="U15" s="166"/>
      <c r="V15" s="166"/>
      <c r="W15" s="166"/>
      <c r="X15" s="166"/>
      <c r="Y15" s="176"/>
      <c r="Z15" s="176"/>
      <c r="AA15" s="166">
        <v>17.86</v>
      </c>
      <c r="AB15" s="166">
        <v>19.8</v>
      </c>
      <c r="AC15" s="166"/>
      <c r="AD15" s="166">
        <v>8</v>
      </c>
      <c r="AE15" s="173"/>
    </row>
    <row r="16" spans="1:31" ht="19.5" customHeight="1">
      <c r="A16" s="163">
        <v>34980</v>
      </c>
      <c r="B16" s="167" t="s">
        <v>247</v>
      </c>
      <c r="C16" s="168" t="s">
        <v>248</v>
      </c>
      <c r="D16" s="166"/>
      <c r="E16" s="166"/>
      <c r="F16" s="166"/>
      <c r="G16" s="166"/>
      <c r="H16" s="166"/>
      <c r="I16" s="166"/>
      <c r="J16" s="166"/>
      <c r="K16" s="166"/>
      <c r="L16" s="166"/>
      <c r="M16" s="166"/>
      <c r="N16" s="166"/>
      <c r="O16" s="166"/>
      <c r="P16" s="166"/>
      <c r="Q16" s="166"/>
      <c r="R16" s="166"/>
      <c r="S16" s="166"/>
      <c r="T16" s="166"/>
      <c r="U16" s="166"/>
      <c r="V16" s="166"/>
      <c r="W16" s="166"/>
      <c r="X16" s="166"/>
      <c r="Y16" s="176"/>
      <c r="Z16" s="176"/>
      <c r="AA16" s="166">
        <v>21.36</v>
      </c>
      <c r="AB16" s="166">
        <v>23.3</v>
      </c>
      <c r="AC16" s="166"/>
      <c r="AD16" s="166">
        <v>5</v>
      </c>
      <c r="AE16" s="173"/>
    </row>
    <row r="17" spans="1:31" ht="19.5" customHeight="1">
      <c r="A17" s="163">
        <v>34980</v>
      </c>
      <c r="B17" s="167" t="s">
        <v>247</v>
      </c>
      <c r="C17" s="168" t="s">
        <v>248</v>
      </c>
      <c r="D17" s="166"/>
      <c r="E17" s="166"/>
      <c r="F17" s="166"/>
      <c r="G17" s="166"/>
      <c r="H17" s="166"/>
      <c r="I17" s="166"/>
      <c r="J17" s="166"/>
      <c r="K17" s="166"/>
      <c r="L17" s="166"/>
      <c r="M17" s="166"/>
      <c r="N17" s="166"/>
      <c r="O17" s="166"/>
      <c r="P17" s="166"/>
      <c r="Q17" s="166"/>
      <c r="R17" s="166"/>
      <c r="S17" s="166"/>
      <c r="T17" s="166"/>
      <c r="U17" s="166"/>
      <c r="V17" s="166"/>
      <c r="W17" s="166"/>
      <c r="X17" s="166"/>
      <c r="Y17" s="176"/>
      <c r="Z17" s="176"/>
      <c r="AA17" s="166">
        <v>21.36</v>
      </c>
      <c r="AB17" s="166">
        <v>23.3</v>
      </c>
      <c r="AC17" s="166"/>
      <c r="AD17" s="166">
        <v>5</v>
      </c>
      <c r="AE17" s="173"/>
    </row>
    <row r="18" spans="1:31" ht="19.5" customHeight="1">
      <c r="A18" s="163">
        <v>35040</v>
      </c>
      <c r="B18" s="167" t="s">
        <v>247</v>
      </c>
      <c r="C18" s="168" t="s">
        <v>249</v>
      </c>
      <c r="D18" s="166"/>
      <c r="E18" s="166"/>
      <c r="F18" s="166"/>
      <c r="G18" s="166"/>
      <c r="H18" s="166"/>
      <c r="I18" s="166"/>
      <c r="J18" s="166"/>
      <c r="K18" s="166"/>
      <c r="L18" s="166"/>
      <c r="M18" s="166"/>
      <c r="N18" s="166"/>
      <c r="O18" s="166"/>
      <c r="P18" s="166"/>
      <c r="Q18" s="166"/>
      <c r="R18" s="166"/>
      <c r="S18" s="166"/>
      <c r="T18" s="166"/>
      <c r="U18" s="166"/>
      <c r="V18" s="166"/>
      <c r="W18" s="166"/>
      <c r="X18" s="166"/>
      <c r="Y18" s="176"/>
      <c r="Z18" s="176"/>
      <c r="AA18" s="166">
        <v>21.36</v>
      </c>
      <c r="AB18" s="166">
        <v>23.3</v>
      </c>
      <c r="AC18" s="166"/>
      <c r="AD18" s="166">
        <v>8</v>
      </c>
      <c r="AE18" s="173"/>
    </row>
    <row r="19" spans="1:31" ht="19.5" customHeight="1">
      <c r="A19" s="163">
        <v>35060</v>
      </c>
      <c r="B19" s="167" t="s">
        <v>247</v>
      </c>
      <c r="C19" s="168" t="s">
        <v>248</v>
      </c>
      <c r="D19" s="166"/>
      <c r="E19" s="166"/>
      <c r="F19" s="166"/>
      <c r="G19" s="166"/>
      <c r="H19" s="166"/>
      <c r="I19" s="166"/>
      <c r="J19" s="166"/>
      <c r="K19" s="166"/>
      <c r="L19" s="166"/>
      <c r="M19" s="166"/>
      <c r="N19" s="166"/>
      <c r="O19" s="166"/>
      <c r="P19" s="166"/>
      <c r="Q19" s="166"/>
      <c r="R19" s="166"/>
      <c r="S19" s="166"/>
      <c r="T19" s="166"/>
      <c r="U19" s="166"/>
      <c r="V19" s="166"/>
      <c r="W19" s="166"/>
      <c r="X19" s="166"/>
      <c r="Y19" s="176"/>
      <c r="Z19" s="176"/>
      <c r="AA19" s="166">
        <v>12.9</v>
      </c>
      <c r="AB19" s="166">
        <v>14.6</v>
      </c>
      <c r="AC19" s="166"/>
      <c r="AD19" s="166">
        <v>5</v>
      </c>
      <c r="AE19" s="173"/>
    </row>
    <row r="20" spans="1:31" ht="19.5" customHeight="1">
      <c r="A20" s="163">
        <v>35210</v>
      </c>
      <c r="B20" s="167" t="s">
        <v>247</v>
      </c>
      <c r="C20" s="168" t="s">
        <v>248</v>
      </c>
      <c r="D20" s="166"/>
      <c r="E20" s="166"/>
      <c r="F20" s="166"/>
      <c r="G20" s="166"/>
      <c r="H20" s="166"/>
      <c r="I20" s="166"/>
      <c r="J20" s="166"/>
      <c r="K20" s="166"/>
      <c r="L20" s="166"/>
      <c r="M20" s="166"/>
      <c r="N20" s="166"/>
      <c r="O20" s="166"/>
      <c r="P20" s="166"/>
      <c r="Q20" s="166"/>
      <c r="R20" s="166"/>
      <c r="S20" s="166"/>
      <c r="T20" s="166"/>
      <c r="U20" s="166"/>
      <c r="V20" s="166"/>
      <c r="W20" s="166"/>
      <c r="X20" s="166"/>
      <c r="Y20" s="176"/>
      <c r="Z20" s="176"/>
      <c r="AA20" s="166">
        <v>28.36</v>
      </c>
      <c r="AB20" s="166">
        <v>30.3</v>
      </c>
      <c r="AC20" s="166"/>
      <c r="AD20" s="166">
        <v>14</v>
      </c>
      <c r="AE20" s="173"/>
    </row>
    <row r="21" spans="1:31" ht="19.5" customHeight="1">
      <c r="A21" s="163">
        <v>35245</v>
      </c>
      <c r="B21" s="167" t="s">
        <v>247</v>
      </c>
      <c r="C21" s="168" t="s">
        <v>248</v>
      </c>
      <c r="D21" s="166"/>
      <c r="E21" s="166"/>
      <c r="F21" s="166"/>
      <c r="G21" s="166"/>
      <c r="H21" s="166"/>
      <c r="I21" s="166"/>
      <c r="J21" s="166"/>
      <c r="K21" s="166"/>
      <c r="L21" s="166"/>
      <c r="M21" s="166"/>
      <c r="N21" s="166"/>
      <c r="O21" s="166"/>
      <c r="P21" s="166"/>
      <c r="Q21" s="166"/>
      <c r="R21" s="166"/>
      <c r="S21" s="166"/>
      <c r="T21" s="166"/>
      <c r="U21" s="166"/>
      <c r="V21" s="166"/>
      <c r="W21" s="166"/>
      <c r="X21" s="166"/>
      <c r="Y21" s="176"/>
      <c r="Z21" s="176"/>
      <c r="AA21" s="166">
        <v>12.9</v>
      </c>
      <c r="AB21" s="166">
        <v>14.6</v>
      </c>
      <c r="AC21" s="166"/>
      <c r="AD21" s="166">
        <v>7</v>
      </c>
      <c r="AE21" s="173"/>
    </row>
    <row r="22" spans="1:31" ht="19.5" customHeight="1">
      <c r="A22" s="163">
        <v>35260</v>
      </c>
      <c r="B22" s="167" t="s">
        <v>247</v>
      </c>
      <c r="C22" s="168" t="s">
        <v>248</v>
      </c>
      <c r="D22" s="166"/>
      <c r="E22" s="166"/>
      <c r="F22" s="166"/>
      <c r="G22" s="166"/>
      <c r="H22" s="166"/>
      <c r="I22" s="166"/>
      <c r="J22" s="166"/>
      <c r="K22" s="166"/>
      <c r="L22" s="166"/>
      <c r="M22" s="166"/>
      <c r="N22" s="166"/>
      <c r="O22" s="166"/>
      <c r="P22" s="166"/>
      <c r="Q22" s="166"/>
      <c r="R22" s="166"/>
      <c r="S22" s="166"/>
      <c r="T22" s="166"/>
      <c r="U22" s="166"/>
      <c r="V22" s="166"/>
      <c r="W22" s="166"/>
      <c r="X22" s="166"/>
      <c r="Y22" s="176"/>
      <c r="Z22" s="176"/>
      <c r="AA22" s="166">
        <v>12.9</v>
      </c>
      <c r="AB22" s="166">
        <v>14.6</v>
      </c>
      <c r="AC22" s="166"/>
      <c r="AD22" s="166">
        <v>7</v>
      </c>
      <c r="AE22" s="173"/>
    </row>
    <row r="23" spans="1:31" ht="19.5" customHeight="1">
      <c r="A23" s="163">
        <v>35375</v>
      </c>
      <c r="B23" s="167" t="s">
        <v>247</v>
      </c>
      <c r="C23" s="168" t="s">
        <v>248</v>
      </c>
      <c r="D23" s="166"/>
      <c r="E23" s="166"/>
      <c r="F23" s="166"/>
      <c r="G23" s="166"/>
      <c r="H23" s="166"/>
      <c r="I23" s="166"/>
      <c r="J23" s="166"/>
      <c r="K23" s="166"/>
      <c r="L23" s="166"/>
      <c r="M23" s="166"/>
      <c r="N23" s="166"/>
      <c r="O23" s="166"/>
      <c r="P23" s="166"/>
      <c r="Q23" s="166"/>
      <c r="R23" s="166"/>
      <c r="S23" s="166"/>
      <c r="T23" s="166"/>
      <c r="U23" s="166"/>
      <c r="V23" s="166"/>
      <c r="W23" s="166"/>
      <c r="X23" s="166"/>
      <c r="Y23" s="176"/>
      <c r="Z23" s="176"/>
      <c r="AA23" s="166">
        <v>12.9</v>
      </c>
      <c r="AB23" s="166">
        <v>14.6</v>
      </c>
      <c r="AC23" s="166"/>
      <c r="AD23" s="166">
        <v>6</v>
      </c>
      <c r="AE23" s="173"/>
    </row>
    <row r="24" spans="1:31" ht="19.5" customHeight="1">
      <c r="A24" s="163">
        <v>35405</v>
      </c>
      <c r="B24" s="167" t="s">
        <v>247</v>
      </c>
      <c r="C24" s="168" t="s">
        <v>249</v>
      </c>
      <c r="D24" s="166"/>
      <c r="E24" s="166"/>
      <c r="F24" s="166"/>
      <c r="G24" s="166"/>
      <c r="H24" s="166"/>
      <c r="I24" s="166"/>
      <c r="J24" s="166"/>
      <c r="K24" s="166"/>
      <c r="L24" s="166"/>
      <c r="M24" s="166"/>
      <c r="N24" s="166"/>
      <c r="O24" s="166"/>
      <c r="P24" s="166"/>
      <c r="Q24" s="166"/>
      <c r="R24" s="166"/>
      <c r="S24" s="166"/>
      <c r="T24" s="166"/>
      <c r="U24" s="166"/>
      <c r="V24" s="166"/>
      <c r="W24" s="166"/>
      <c r="X24" s="166"/>
      <c r="Y24" s="176"/>
      <c r="Z24" s="176"/>
      <c r="AA24" s="166">
        <v>14.4</v>
      </c>
      <c r="AB24" s="166">
        <v>16.3</v>
      </c>
      <c r="AC24" s="166"/>
      <c r="AD24" s="166">
        <v>6</v>
      </c>
      <c r="AE24" s="173"/>
    </row>
    <row r="25" spans="1:31" ht="19.5" customHeight="1">
      <c r="A25" s="383" t="s">
        <v>230</v>
      </c>
      <c r="B25" s="384"/>
      <c r="C25" s="384"/>
      <c r="D25" s="169"/>
      <c r="E25" s="169">
        <f>SUM(E6:E24)</f>
        <v>9756</v>
      </c>
      <c r="F25" s="169"/>
      <c r="G25" s="169">
        <f>SUM(G6:G24)</f>
        <v>10623.2</v>
      </c>
      <c r="H25" s="169"/>
      <c r="I25" s="169">
        <f>SUM(I6:I24)</f>
        <v>10298</v>
      </c>
      <c r="J25" s="169"/>
      <c r="K25" s="169">
        <f>SUM(K6:K24)</f>
        <v>5494.4</v>
      </c>
      <c r="L25" s="169"/>
      <c r="M25" s="169">
        <f>SUM(M6:M24)</f>
        <v>5454</v>
      </c>
      <c r="N25" s="169"/>
      <c r="O25" s="169">
        <f>SUM(O6:O24)</f>
        <v>5454</v>
      </c>
      <c r="P25" s="169">
        <f>SUM(P6:P24)</f>
        <v>1520.3679650772333</v>
      </c>
      <c r="Q25" s="169">
        <f>SUM(Q6:Q24)</f>
        <v>5073.498455339154</v>
      </c>
      <c r="R25" s="169"/>
      <c r="S25" s="169">
        <f>SUM(S6:S24)</f>
        <v>1084</v>
      </c>
      <c r="T25" s="169"/>
      <c r="U25" s="169">
        <f>SUM(U6:U24)</f>
        <v>542</v>
      </c>
      <c r="V25" s="169">
        <f>SUM(V6:V24)</f>
        <v>54.2</v>
      </c>
      <c r="W25" s="169">
        <f>SUM(W10:W24)</f>
        <v>336</v>
      </c>
      <c r="X25" s="169">
        <f>SUM(X10:X24)</f>
        <v>70.56</v>
      </c>
      <c r="Y25" s="177">
        <f>SUM(Y11)</f>
        <v>0</v>
      </c>
      <c r="Z25" s="177">
        <f>SUM(Z8)</f>
        <v>3.58</v>
      </c>
      <c r="AA25" s="177">
        <f>SUM(AA6:AA24)</f>
        <v>284.21999999999997</v>
      </c>
      <c r="AB25" s="177">
        <f>SUM(AB6:AB24)</f>
        <v>311.9000000000001</v>
      </c>
      <c r="AC25" s="178">
        <f>SUM(AC6:AC24)</f>
        <v>4</v>
      </c>
      <c r="AD25" s="178">
        <f>SUM(AD6:AD24)</f>
        <v>108</v>
      </c>
      <c r="AE25" s="179"/>
    </row>
    <row r="30" ht="13.5">
      <c r="W30" s="172"/>
    </row>
  </sheetData>
  <sheetProtection/>
  <mergeCells count="20">
    <mergeCell ref="A10:B10"/>
    <mergeCell ref="A25:C25"/>
    <mergeCell ref="C3:C5"/>
    <mergeCell ref="P3:P4"/>
    <mergeCell ref="Q3:Q4"/>
    <mergeCell ref="Z3:Z4"/>
    <mergeCell ref="D3:E4"/>
    <mergeCell ref="F3:G4"/>
    <mergeCell ref="H3:I4"/>
    <mergeCell ref="J3:K4"/>
    <mergeCell ref="A1:AE1"/>
    <mergeCell ref="R3:V3"/>
    <mergeCell ref="W3:Y3"/>
    <mergeCell ref="AA3:AD3"/>
    <mergeCell ref="R4:S4"/>
    <mergeCell ref="T4:U4"/>
    <mergeCell ref="AE3:AE5"/>
    <mergeCell ref="L3:M4"/>
    <mergeCell ref="N3:O4"/>
    <mergeCell ref="A3:B5"/>
  </mergeCells>
  <printOptions/>
  <pageMargins left="0.31" right="0.28" top="0.79" bottom="1.14" header="0.51" footer="0.75"/>
  <pageSetup horizontalDpi="200" verticalDpi="200" orientation="landscape" paperSize="9" scale="83"/>
  <headerFooter alignWithMargins="0">
    <oddFooter>&amp;L施工单位：&amp;C监理单位：                                代建单位：</oddFooter>
  </headerFooter>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J8" sqref="J8"/>
    </sheetView>
  </sheetViews>
  <sheetFormatPr defaultColWidth="9.00390625" defaultRowHeight="14.25"/>
  <cols>
    <col min="1" max="2" width="13.50390625" style="116" customWidth="1"/>
    <col min="3" max="5" width="9.00390625" style="116" customWidth="1"/>
    <col min="6" max="6" width="16.125" style="147" customWidth="1"/>
    <col min="7" max="7" width="13.50390625" style="116" customWidth="1"/>
    <col min="8" max="8" width="13.375" style="116" customWidth="1"/>
    <col min="9" max="9" width="12.50390625" style="116" customWidth="1"/>
    <col min="10" max="10" width="12.625" style="116" customWidth="1"/>
    <col min="11" max="16384" width="9.00390625" style="116" customWidth="1"/>
  </cols>
  <sheetData>
    <row r="1" spans="1:10" ht="25.5">
      <c r="A1" s="391" t="s">
        <v>275</v>
      </c>
      <c r="B1" s="392"/>
      <c r="C1" s="392"/>
      <c r="D1" s="392"/>
      <c r="E1" s="392"/>
      <c r="F1" s="392"/>
      <c r="G1" s="392"/>
      <c r="H1" s="392"/>
      <c r="I1" s="392"/>
      <c r="J1" s="392"/>
    </row>
    <row r="3" spans="1:10" s="123" customFormat="1" ht="42.75" customHeight="1">
      <c r="A3" s="399" t="s">
        <v>206</v>
      </c>
      <c r="B3" s="400"/>
      <c r="C3" s="397" t="s">
        <v>251</v>
      </c>
      <c r="D3" s="393" t="s">
        <v>207</v>
      </c>
      <c r="E3" s="394"/>
      <c r="F3" s="148" t="s">
        <v>276</v>
      </c>
      <c r="G3" s="13" t="s">
        <v>277</v>
      </c>
      <c r="H3" s="13" t="s">
        <v>225</v>
      </c>
      <c r="I3" s="13" t="s">
        <v>278</v>
      </c>
      <c r="J3" s="13" t="s">
        <v>175</v>
      </c>
    </row>
    <row r="4" spans="1:10" s="123" customFormat="1" ht="23.25" customHeight="1">
      <c r="A4" s="401"/>
      <c r="B4" s="402"/>
      <c r="C4" s="398"/>
      <c r="D4" s="13" t="s">
        <v>248</v>
      </c>
      <c r="E4" s="13" t="s">
        <v>249</v>
      </c>
      <c r="F4" s="149" t="s">
        <v>227</v>
      </c>
      <c r="G4" s="150" t="s">
        <v>227</v>
      </c>
      <c r="H4" s="150" t="s">
        <v>226</v>
      </c>
      <c r="I4" s="150" t="s">
        <v>226</v>
      </c>
      <c r="J4" s="14"/>
    </row>
    <row r="5" spans="1:10" s="147" customFormat="1" ht="24.75" customHeight="1">
      <c r="A5" s="151"/>
      <c r="B5" s="151"/>
      <c r="C5" s="154"/>
      <c r="D5" s="154"/>
      <c r="E5" s="154"/>
      <c r="F5" s="12"/>
      <c r="G5" s="12"/>
      <c r="H5" s="12"/>
      <c r="I5" s="12"/>
      <c r="J5" s="12"/>
    </row>
    <row r="6" spans="1:10" s="147" customFormat="1" ht="24.75" customHeight="1">
      <c r="A6" s="151">
        <v>34300</v>
      </c>
      <c r="B6" s="151">
        <v>34880</v>
      </c>
      <c r="C6" s="154">
        <f>B6-A6</f>
        <v>580</v>
      </c>
      <c r="D6" s="154"/>
      <c r="E6" s="154"/>
      <c r="F6" s="12">
        <f>C6*6.5</f>
        <v>3770</v>
      </c>
      <c r="G6" s="12">
        <f>C6*9.95</f>
        <v>5771</v>
      </c>
      <c r="H6" s="12"/>
      <c r="I6" s="12"/>
      <c r="J6" s="12"/>
    </row>
    <row r="7" spans="1:10" s="147" customFormat="1" ht="24.75" customHeight="1">
      <c r="A7" s="151">
        <v>34340</v>
      </c>
      <c r="B7" s="151">
        <v>34380</v>
      </c>
      <c r="C7" s="154">
        <f>B7-A7</f>
        <v>40</v>
      </c>
      <c r="D7" s="25" t="s">
        <v>248</v>
      </c>
      <c r="E7" s="12"/>
      <c r="F7" s="12"/>
      <c r="G7" s="12"/>
      <c r="H7" s="12">
        <v>36</v>
      </c>
      <c r="I7" s="12">
        <v>36</v>
      </c>
      <c r="J7" s="12"/>
    </row>
    <row r="8" spans="1:10" s="147" customFormat="1" ht="24.75" customHeight="1">
      <c r="A8" s="151">
        <v>34410</v>
      </c>
      <c r="B8" s="151">
        <v>34430</v>
      </c>
      <c r="C8" s="154">
        <f>B8-A8</f>
        <v>20</v>
      </c>
      <c r="D8" s="25" t="s">
        <v>248</v>
      </c>
      <c r="E8" s="12"/>
      <c r="F8" s="12"/>
      <c r="G8" s="12"/>
      <c r="H8" s="12">
        <v>30</v>
      </c>
      <c r="I8" s="12">
        <v>30</v>
      </c>
      <c r="J8" s="12"/>
    </row>
    <row r="9" spans="1:10" s="147" customFormat="1" ht="24.75" customHeight="1">
      <c r="A9" s="151">
        <v>34530</v>
      </c>
      <c r="B9" s="151">
        <v>34550</v>
      </c>
      <c r="C9" s="154">
        <f>B9-A9</f>
        <v>20</v>
      </c>
      <c r="D9" s="25" t="s">
        <v>248</v>
      </c>
      <c r="E9" s="12"/>
      <c r="F9" s="12"/>
      <c r="G9" s="12"/>
      <c r="H9" s="12">
        <v>16</v>
      </c>
      <c r="I9" s="12">
        <v>16</v>
      </c>
      <c r="J9" s="12"/>
    </row>
    <row r="10" spans="1:10" s="147" customFormat="1" ht="24.75" customHeight="1">
      <c r="A10" s="151">
        <v>34460</v>
      </c>
      <c r="B10" s="151">
        <v>34520</v>
      </c>
      <c r="C10" s="154">
        <f>B10-A10</f>
        <v>60</v>
      </c>
      <c r="D10" s="12"/>
      <c r="E10" s="25" t="s">
        <v>249</v>
      </c>
      <c r="F10" s="12"/>
      <c r="G10" s="12"/>
      <c r="H10" s="12">
        <v>36</v>
      </c>
      <c r="I10" s="12">
        <v>36</v>
      </c>
      <c r="J10" s="12"/>
    </row>
    <row r="11" spans="1:10" s="147" customFormat="1" ht="24.75" customHeight="1">
      <c r="A11" s="151"/>
      <c r="B11" s="151"/>
      <c r="C11" s="154"/>
      <c r="D11" s="12"/>
      <c r="E11" s="25"/>
      <c r="F11" s="12"/>
      <c r="G11" s="12"/>
      <c r="H11" s="12"/>
      <c r="I11" s="12"/>
      <c r="J11" s="12"/>
    </row>
    <row r="12" spans="1:10" s="147" customFormat="1" ht="24.75" customHeight="1">
      <c r="A12" s="151"/>
      <c r="B12" s="151"/>
      <c r="C12" s="154"/>
      <c r="D12" s="12"/>
      <c r="E12" s="25"/>
      <c r="F12" s="12"/>
      <c r="G12" s="12"/>
      <c r="H12" s="12"/>
      <c r="I12" s="12"/>
      <c r="J12" s="12"/>
    </row>
    <row r="13" spans="1:10" s="147" customFormat="1" ht="24.75" customHeight="1">
      <c r="A13" s="151"/>
      <c r="B13" s="151"/>
      <c r="C13" s="154"/>
      <c r="D13" s="12"/>
      <c r="E13" s="25"/>
      <c r="F13" s="12"/>
      <c r="G13" s="12"/>
      <c r="H13" s="12"/>
      <c r="I13" s="12"/>
      <c r="J13" s="12"/>
    </row>
    <row r="14" spans="1:10" s="147" customFormat="1" ht="24.75" customHeight="1">
      <c r="A14" s="151"/>
      <c r="B14" s="151"/>
      <c r="C14" s="154"/>
      <c r="D14" s="12"/>
      <c r="E14" s="25"/>
      <c r="F14" s="12"/>
      <c r="G14" s="12"/>
      <c r="H14" s="12"/>
      <c r="I14" s="12"/>
      <c r="J14" s="12"/>
    </row>
    <row r="15" spans="1:10" s="147" customFormat="1" ht="24.75" customHeight="1">
      <c r="A15" s="151"/>
      <c r="B15" s="151"/>
      <c r="C15" s="154"/>
      <c r="D15" s="12"/>
      <c r="E15" s="25"/>
      <c r="F15" s="12"/>
      <c r="G15" s="12"/>
      <c r="H15" s="12"/>
      <c r="I15" s="12"/>
      <c r="J15" s="12"/>
    </row>
    <row r="16" spans="1:10" s="147" customFormat="1" ht="24.75" customHeight="1">
      <c r="A16" s="395" t="s">
        <v>230</v>
      </c>
      <c r="B16" s="396"/>
      <c r="C16" s="154"/>
      <c r="D16" s="12"/>
      <c r="E16" s="12"/>
      <c r="F16" s="12">
        <f>SUM(F5:F10)</f>
        <v>3770</v>
      </c>
      <c r="G16" s="12">
        <f>SUM(G5:G10)</f>
        <v>5771</v>
      </c>
      <c r="H16" s="12">
        <f>SUM(H5:H10)</f>
        <v>118</v>
      </c>
      <c r="I16" s="12">
        <f>SUM(I5:I10)</f>
        <v>118</v>
      </c>
      <c r="J16" s="12"/>
    </row>
    <row r="17" spans="1:3" s="147" customFormat="1" ht="15">
      <c r="A17" s="155"/>
      <c r="B17" s="155"/>
      <c r="C17" s="156"/>
    </row>
    <row r="18" spans="1:3" s="147" customFormat="1" ht="15">
      <c r="A18" s="155"/>
      <c r="B18" s="155"/>
      <c r="C18" s="156"/>
    </row>
    <row r="19" spans="1:3" s="147" customFormat="1" ht="15">
      <c r="A19" s="155"/>
      <c r="B19" s="155"/>
      <c r="C19" s="156"/>
    </row>
    <row r="20" spans="1:3" s="147" customFormat="1" ht="15">
      <c r="A20" s="155"/>
      <c r="B20" s="155"/>
      <c r="C20" s="156"/>
    </row>
    <row r="21" spans="1:3" s="147" customFormat="1" ht="15">
      <c r="A21" s="155"/>
      <c r="B21" s="155"/>
      <c r="C21" s="156"/>
    </row>
    <row r="22" spans="1:3" s="147" customFormat="1" ht="15">
      <c r="A22" s="155"/>
      <c r="B22" s="155"/>
      <c r="C22" s="156"/>
    </row>
    <row r="23" spans="1:3" s="147" customFormat="1" ht="15">
      <c r="A23" s="155"/>
      <c r="B23" s="155"/>
      <c r="C23" s="156"/>
    </row>
    <row r="24" s="147" customFormat="1" ht="15">
      <c r="C24" s="156"/>
    </row>
    <row r="25" s="147" customFormat="1" ht="15"/>
    <row r="26" s="147" customFormat="1" ht="15"/>
  </sheetData>
  <sheetProtection/>
  <mergeCells count="5">
    <mergeCell ref="A1:J1"/>
    <mergeCell ref="D3:E3"/>
    <mergeCell ref="A16:B16"/>
    <mergeCell ref="C3:C4"/>
    <mergeCell ref="A3:B4"/>
  </mergeCells>
  <printOptions/>
  <pageMargins left="0.75" right="0.75" top="0.98" bottom="0.98" header="0.51" footer="0.87"/>
  <pageSetup horizontalDpi="200" verticalDpi="200" orientation="landscape" paperSize="9"/>
  <headerFooter alignWithMargins="0">
    <oddFooter>&amp;L施工单位：&amp;C监理单位：                                代建单位：</oddFooter>
  </headerFooter>
</worksheet>
</file>

<file path=xl/worksheets/sheet9.xml><?xml version="1.0" encoding="utf-8"?>
<worksheet xmlns="http://schemas.openxmlformats.org/spreadsheetml/2006/main" xmlns:r="http://schemas.openxmlformats.org/officeDocument/2006/relationships">
  <sheetPr>
    <tabColor rgb="FFFFFF00"/>
  </sheetPr>
  <dimension ref="A1:I26"/>
  <sheetViews>
    <sheetView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F9" sqref="F9"/>
    </sheetView>
  </sheetViews>
  <sheetFormatPr defaultColWidth="9.00390625" defaultRowHeight="14.25"/>
  <cols>
    <col min="1" max="2" width="13.50390625" style="116" customWidth="1"/>
    <col min="3" max="3" width="9.00390625" style="116" customWidth="1"/>
    <col min="4" max="4" width="16.125" style="147" customWidth="1"/>
    <col min="5" max="5" width="13.50390625" style="116" customWidth="1"/>
    <col min="6" max="8" width="13.375" style="116" customWidth="1"/>
    <col min="9" max="9" width="12.625" style="116" customWidth="1"/>
    <col min="10" max="16384" width="9.00390625" style="116" customWidth="1"/>
  </cols>
  <sheetData>
    <row r="1" spans="1:9" ht="25.5">
      <c r="A1" s="391" t="s">
        <v>279</v>
      </c>
      <c r="B1" s="392"/>
      <c r="C1" s="392"/>
      <c r="D1" s="392"/>
      <c r="E1" s="392"/>
      <c r="F1" s="392"/>
      <c r="G1" s="392"/>
      <c r="H1" s="392"/>
      <c r="I1" s="392"/>
    </row>
    <row r="3" spans="1:9" s="123" customFormat="1" ht="42.75" customHeight="1">
      <c r="A3" s="393" t="s">
        <v>280</v>
      </c>
      <c r="B3" s="393" t="s">
        <v>281</v>
      </c>
      <c r="C3" s="13" t="s">
        <v>282</v>
      </c>
      <c r="D3" s="148" t="s">
        <v>283</v>
      </c>
      <c r="E3" s="13" t="s">
        <v>284</v>
      </c>
      <c r="F3" s="13" t="s">
        <v>285</v>
      </c>
      <c r="G3" s="13" t="s">
        <v>286</v>
      </c>
      <c r="H3" s="13" t="s">
        <v>287</v>
      </c>
      <c r="I3" s="13" t="s">
        <v>175</v>
      </c>
    </row>
    <row r="4" spans="1:9" s="123" customFormat="1" ht="23.25" customHeight="1">
      <c r="A4" s="393"/>
      <c r="B4" s="394"/>
      <c r="C4" s="13" t="s">
        <v>288</v>
      </c>
      <c r="D4" s="149" t="s">
        <v>289</v>
      </c>
      <c r="E4" s="150" t="s">
        <v>227</v>
      </c>
      <c r="F4" s="150" t="s">
        <v>226</v>
      </c>
      <c r="G4" s="150" t="s">
        <v>227</v>
      </c>
      <c r="H4" s="150" t="s">
        <v>226</v>
      </c>
      <c r="I4" s="14"/>
    </row>
    <row r="5" spans="1:9" s="147" customFormat="1" ht="24.75" customHeight="1">
      <c r="A5" s="151">
        <v>34445</v>
      </c>
      <c r="B5" s="152" t="s">
        <v>274</v>
      </c>
      <c r="C5" s="153">
        <v>90</v>
      </c>
      <c r="D5" s="12">
        <v>41.4</v>
      </c>
      <c r="E5" s="12">
        <v>642</v>
      </c>
      <c r="F5" s="12">
        <v>1377</v>
      </c>
      <c r="G5" s="12">
        <v>76.5</v>
      </c>
      <c r="H5" s="12">
        <v>90</v>
      </c>
      <c r="I5" s="12"/>
    </row>
    <row r="6" spans="1:9" s="147" customFormat="1" ht="24.75" customHeight="1">
      <c r="A6" s="151"/>
      <c r="B6" s="152"/>
      <c r="C6" s="153"/>
      <c r="D6" s="12"/>
      <c r="E6" s="12"/>
      <c r="F6" s="12"/>
      <c r="G6" s="12"/>
      <c r="H6" s="12"/>
      <c r="I6" s="12"/>
    </row>
    <row r="7" spans="1:9" s="147" customFormat="1" ht="24.75" customHeight="1">
      <c r="A7" s="151"/>
      <c r="B7" s="152"/>
      <c r="C7" s="153"/>
      <c r="D7" s="12"/>
      <c r="E7" s="12"/>
      <c r="F7" s="12"/>
      <c r="G7" s="12"/>
      <c r="H7" s="12"/>
      <c r="I7" s="12"/>
    </row>
    <row r="8" spans="1:9" s="147" customFormat="1" ht="24.75" customHeight="1">
      <c r="A8" s="151"/>
      <c r="B8" s="152"/>
      <c r="C8" s="153"/>
      <c r="D8" s="12"/>
      <c r="E8" s="12"/>
      <c r="F8" s="12"/>
      <c r="G8" s="12"/>
      <c r="H8" s="12"/>
      <c r="I8" s="12"/>
    </row>
    <row r="9" spans="1:9" s="147" customFormat="1" ht="24.75" customHeight="1">
      <c r="A9" s="151"/>
      <c r="B9" s="152"/>
      <c r="C9" s="153"/>
      <c r="D9" s="12"/>
      <c r="E9" s="12"/>
      <c r="F9" s="12"/>
      <c r="G9" s="12"/>
      <c r="H9" s="12"/>
      <c r="I9" s="12"/>
    </row>
    <row r="10" spans="1:9" s="147" customFormat="1" ht="24.75" customHeight="1">
      <c r="A10" s="151"/>
      <c r="B10" s="152"/>
      <c r="C10" s="153"/>
      <c r="D10" s="12"/>
      <c r="E10" s="12"/>
      <c r="F10" s="12"/>
      <c r="G10" s="12"/>
      <c r="H10" s="12"/>
      <c r="I10" s="12"/>
    </row>
    <row r="11" spans="1:9" s="147" customFormat="1" ht="24.75" customHeight="1">
      <c r="A11" s="151"/>
      <c r="B11" s="152"/>
      <c r="C11" s="153"/>
      <c r="D11" s="12"/>
      <c r="E11" s="12"/>
      <c r="F11" s="12"/>
      <c r="G11" s="12"/>
      <c r="H11" s="12"/>
      <c r="I11" s="12"/>
    </row>
    <row r="12" spans="1:9" s="147" customFormat="1" ht="24.75" customHeight="1">
      <c r="A12" s="151"/>
      <c r="B12" s="151"/>
      <c r="C12" s="154"/>
      <c r="D12" s="12"/>
      <c r="E12" s="12"/>
      <c r="F12" s="12"/>
      <c r="G12" s="12"/>
      <c r="H12" s="12"/>
      <c r="I12" s="12"/>
    </row>
    <row r="13" spans="1:9" s="147" customFormat="1" ht="24.75" customHeight="1">
      <c r="A13" s="151"/>
      <c r="B13" s="151"/>
      <c r="C13" s="154"/>
      <c r="D13" s="12"/>
      <c r="E13" s="12"/>
      <c r="F13" s="12"/>
      <c r="G13" s="12"/>
      <c r="H13" s="12"/>
      <c r="I13" s="12"/>
    </row>
    <row r="14" spans="1:9" s="147" customFormat="1" ht="24.75" customHeight="1">
      <c r="A14" s="151"/>
      <c r="B14" s="151"/>
      <c r="C14" s="154"/>
      <c r="D14" s="12"/>
      <c r="E14" s="12"/>
      <c r="F14" s="12"/>
      <c r="G14" s="12"/>
      <c r="H14" s="12"/>
      <c r="I14" s="12"/>
    </row>
    <row r="15" spans="1:9" s="147" customFormat="1" ht="24.75" customHeight="1">
      <c r="A15" s="151"/>
      <c r="B15" s="151"/>
      <c r="C15" s="154"/>
      <c r="D15" s="12"/>
      <c r="E15" s="12"/>
      <c r="F15" s="12"/>
      <c r="G15" s="12"/>
      <c r="H15" s="12"/>
      <c r="I15" s="12"/>
    </row>
    <row r="16" spans="1:9" s="147" customFormat="1" ht="24.75" customHeight="1">
      <c r="A16" s="395" t="s">
        <v>230</v>
      </c>
      <c r="B16" s="396"/>
      <c r="C16" s="154"/>
      <c r="D16" s="12">
        <f>SUM(D5:D15)</f>
        <v>41.4</v>
      </c>
      <c r="E16" s="12">
        <f>SUM(E5:E15)</f>
        <v>642</v>
      </c>
      <c r="F16" s="12">
        <f>SUM(F5:F15)</f>
        <v>1377</v>
      </c>
      <c r="G16" s="12">
        <f>SUM(G5:G15)</f>
        <v>76.5</v>
      </c>
      <c r="H16" s="12">
        <f>SUM(H5:H15)</f>
        <v>90</v>
      </c>
      <c r="I16" s="12"/>
    </row>
    <row r="17" spans="1:3" ht="15">
      <c r="A17" s="155"/>
      <c r="B17" s="155"/>
      <c r="C17" s="156"/>
    </row>
    <row r="18" spans="1:3" ht="15">
      <c r="A18" s="155"/>
      <c r="B18" s="155"/>
      <c r="C18" s="156"/>
    </row>
    <row r="19" spans="1:3" ht="15">
      <c r="A19" s="155"/>
      <c r="B19" s="155"/>
      <c r="C19" s="156"/>
    </row>
    <row r="20" spans="1:3" ht="15">
      <c r="A20" s="155"/>
      <c r="B20" s="155"/>
      <c r="C20" s="156"/>
    </row>
    <row r="21" spans="1:3" ht="15">
      <c r="A21" s="155"/>
      <c r="B21" s="155"/>
      <c r="C21" s="156"/>
    </row>
    <row r="22" spans="1:3" ht="15">
      <c r="A22" s="155"/>
      <c r="B22" s="155"/>
      <c r="C22" s="156"/>
    </row>
    <row r="23" spans="1:3" ht="15">
      <c r="A23" s="155"/>
      <c r="B23" s="155"/>
      <c r="C23" s="156"/>
    </row>
    <row r="24" spans="1:3" ht="15">
      <c r="A24" s="147"/>
      <c r="B24" s="147"/>
      <c r="C24" s="156"/>
    </row>
    <row r="25" spans="1:3" ht="15">
      <c r="A25" s="147"/>
      <c r="B25" s="147"/>
      <c r="C25" s="147"/>
    </row>
    <row r="26" spans="1:3" ht="15">
      <c r="A26" s="147"/>
      <c r="B26" s="147"/>
      <c r="C26" s="147"/>
    </row>
  </sheetData>
  <sheetProtection/>
  <mergeCells count="4">
    <mergeCell ref="A1:I1"/>
    <mergeCell ref="A16:B16"/>
    <mergeCell ref="A3:A4"/>
    <mergeCell ref="B3:B4"/>
  </mergeCells>
  <printOptions/>
  <pageMargins left="0.75" right="0.75" top="0.98" bottom="0.98" header="0.51" footer="1.02"/>
  <pageSetup horizontalDpi="200" verticalDpi="200" orientation="landscape" paperSize="9"/>
  <headerFooter alignWithMargins="0">
    <oddFooter>&amp;L施工单位：&amp;C监理单位：                                代建单位：</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时李</cp:lastModifiedBy>
  <cp:lastPrinted>2018-06-27T13:15:49Z</cp:lastPrinted>
  <dcterms:created xsi:type="dcterms:W3CDTF">2013-03-08T02:47:52Z</dcterms:created>
  <dcterms:modified xsi:type="dcterms:W3CDTF">2018-10-16T02:14:28Z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